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qia\Dropbox\Qiao Thesis\"/>
    </mc:Choice>
  </mc:AlternateContent>
  <xr:revisionPtr revIDLastSave="0" documentId="13_ncr:1_{199C2233-330C-40CA-BB0E-9C3DC73EC82B}" xr6:coauthVersionLast="47" xr6:coauthVersionMax="47" xr10:uidLastSave="{00000000-0000-0000-0000-000000000000}"/>
  <bookViews>
    <workbookView xWindow="28680" yWindow="-120" windowWidth="29040" windowHeight="17640" xr2:uid="{275D9A7C-D236-4F65-A12F-44C502E2C29E}"/>
  </bookViews>
  <sheets>
    <sheet name="Cover sheet" sheetId="2" r:id="rId1"/>
    <sheet name="EP3D" sheetId="1" r:id="rId2"/>
  </sheets>
  <externalReferences>
    <externalReference r:id="rId3"/>
    <externalReference r:id="rId4"/>
  </externalReferences>
  <definedNames>
    <definedName name="ratio">'[1]Psi Unit'!#REF!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" i="1" l="1"/>
  <c r="N3" i="1" s="1"/>
  <c r="F3" i="1"/>
  <c r="B4" i="1"/>
  <c r="F2" i="1" s="1"/>
  <c r="F4" i="1"/>
  <c r="B5" i="1"/>
  <c r="F7" i="1"/>
  <c r="O52" i="1"/>
  <c r="F8" i="1" l="1"/>
  <c r="F5" i="1"/>
  <c r="F6" i="1" s="1"/>
  <c r="O2" i="1"/>
  <c r="O3" i="1"/>
  <c r="N4" i="1"/>
  <c r="P52" i="1"/>
  <c r="F9" i="1"/>
  <c r="P2" i="1"/>
  <c r="P3" i="1"/>
  <c r="Q2" i="1" l="1"/>
  <c r="R2" i="1" s="1"/>
  <c r="Q3" i="1"/>
  <c r="R3" i="1" s="1"/>
  <c r="Q52" i="1"/>
  <c r="R52" i="1" s="1"/>
  <c r="N5" i="1"/>
  <c r="O4" i="1"/>
  <c r="P4" i="1" s="1"/>
  <c r="Q4" i="1" s="1"/>
  <c r="R4" i="1" s="1"/>
  <c r="N6" i="1" l="1"/>
  <c r="O5" i="1"/>
  <c r="P5" i="1" s="1"/>
  <c r="Q5" i="1" s="1"/>
  <c r="R5" i="1" s="1"/>
  <c r="N7" i="1" l="1"/>
  <c r="O6" i="1"/>
  <c r="P6" i="1" s="1"/>
  <c r="Q6" i="1" s="1"/>
  <c r="R6" i="1" s="1"/>
  <c r="N8" i="1" l="1"/>
  <c r="O7" i="1"/>
  <c r="P7" i="1" s="1"/>
  <c r="Q7" i="1" s="1"/>
  <c r="R7" i="1" s="1"/>
  <c r="O8" i="1" l="1"/>
  <c r="P8" i="1" s="1"/>
  <c r="Q8" i="1" s="1"/>
  <c r="R8" i="1" s="1"/>
  <c r="N9" i="1"/>
  <c r="O9" i="1" l="1"/>
  <c r="P9" i="1" s="1"/>
  <c r="Q9" i="1" s="1"/>
  <c r="R9" i="1" s="1"/>
  <c r="N10" i="1"/>
  <c r="O10" i="1" l="1"/>
  <c r="P10" i="1" s="1"/>
  <c r="Q10" i="1" s="1"/>
  <c r="R10" i="1" s="1"/>
  <c r="N11" i="1"/>
  <c r="O11" i="1" l="1"/>
  <c r="P11" i="1" s="1"/>
  <c r="Q11" i="1" s="1"/>
  <c r="R11" i="1" s="1"/>
  <c r="N12" i="1"/>
  <c r="N13" i="1" l="1"/>
  <c r="O12" i="1"/>
  <c r="P12" i="1" s="1"/>
  <c r="Q12" i="1" s="1"/>
  <c r="R12" i="1" s="1"/>
  <c r="O13" i="1" l="1"/>
  <c r="P13" i="1" s="1"/>
  <c r="Q13" i="1" s="1"/>
  <c r="R13" i="1" s="1"/>
  <c r="N14" i="1"/>
  <c r="N15" i="1" l="1"/>
  <c r="O14" i="1"/>
  <c r="P14" i="1" s="1"/>
  <c r="Q14" i="1" s="1"/>
  <c r="R14" i="1" s="1"/>
  <c r="N16" i="1" l="1"/>
  <c r="O15" i="1"/>
  <c r="P15" i="1" s="1"/>
  <c r="Q15" i="1" s="1"/>
  <c r="R15" i="1" s="1"/>
  <c r="O16" i="1" l="1"/>
  <c r="P16" i="1" s="1"/>
  <c r="Q16" i="1" s="1"/>
  <c r="R16" i="1" s="1"/>
  <c r="N17" i="1"/>
  <c r="N18" i="1" l="1"/>
  <c r="O17" i="1"/>
  <c r="P17" i="1" s="1"/>
  <c r="Q17" i="1" s="1"/>
  <c r="R17" i="1" s="1"/>
  <c r="O18" i="1" l="1"/>
  <c r="P18" i="1" s="1"/>
  <c r="Q18" i="1" s="1"/>
  <c r="R18" i="1" s="1"/>
  <c r="N19" i="1"/>
  <c r="O19" i="1" l="1"/>
  <c r="P19" i="1" s="1"/>
  <c r="Q19" i="1" s="1"/>
  <c r="R19" i="1" s="1"/>
  <c r="N20" i="1"/>
  <c r="N21" i="1" l="1"/>
  <c r="O20" i="1"/>
  <c r="P20" i="1" s="1"/>
  <c r="Q20" i="1" s="1"/>
  <c r="R20" i="1" s="1"/>
  <c r="O21" i="1" l="1"/>
  <c r="P21" i="1" s="1"/>
  <c r="Q21" i="1" s="1"/>
  <c r="R21" i="1" s="1"/>
  <c r="N22" i="1"/>
  <c r="N23" i="1" l="1"/>
  <c r="O22" i="1"/>
  <c r="P22" i="1" s="1"/>
  <c r="Q22" i="1" s="1"/>
  <c r="R22" i="1" s="1"/>
  <c r="N24" i="1" l="1"/>
  <c r="O23" i="1"/>
  <c r="P23" i="1" s="1"/>
  <c r="Q23" i="1" s="1"/>
  <c r="R23" i="1" s="1"/>
  <c r="O24" i="1" l="1"/>
  <c r="P24" i="1" s="1"/>
  <c r="Q24" i="1" s="1"/>
  <c r="R24" i="1" s="1"/>
  <c r="N25" i="1"/>
  <c r="O25" i="1" l="1"/>
  <c r="P25" i="1" s="1"/>
  <c r="Q25" i="1" s="1"/>
  <c r="R25" i="1" s="1"/>
  <c r="N26" i="1"/>
  <c r="O26" i="1" l="1"/>
  <c r="P26" i="1" s="1"/>
  <c r="Q26" i="1" s="1"/>
  <c r="R26" i="1" s="1"/>
  <c r="N27" i="1"/>
  <c r="O27" i="1" l="1"/>
  <c r="P27" i="1" s="1"/>
  <c r="Q27" i="1" s="1"/>
  <c r="R27" i="1" s="1"/>
  <c r="N28" i="1"/>
  <c r="N29" i="1" l="1"/>
  <c r="O28" i="1"/>
  <c r="P28" i="1" s="1"/>
  <c r="Q28" i="1" s="1"/>
  <c r="R28" i="1" s="1"/>
  <c r="O29" i="1" l="1"/>
  <c r="P29" i="1" s="1"/>
  <c r="Q29" i="1" s="1"/>
  <c r="R29" i="1" s="1"/>
  <c r="N30" i="1"/>
  <c r="N31" i="1" l="1"/>
  <c r="O30" i="1"/>
  <c r="P30" i="1" s="1"/>
  <c r="Q30" i="1" s="1"/>
  <c r="R30" i="1" s="1"/>
  <c r="N32" i="1" l="1"/>
  <c r="O31" i="1"/>
  <c r="P31" i="1" s="1"/>
  <c r="Q31" i="1" s="1"/>
  <c r="R31" i="1" s="1"/>
  <c r="O32" i="1" l="1"/>
  <c r="P32" i="1" s="1"/>
  <c r="Q32" i="1" s="1"/>
  <c r="R32" i="1" s="1"/>
  <c r="N33" i="1"/>
  <c r="N34" i="1" l="1"/>
  <c r="O33" i="1"/>
  <c r="P33" i="1" s="1"/>
  <c r="Q33" i="1" s="1"/>
  <c r="R33" i="1" s="1"/>
  <c r="O34" i="1" l="1"/>
  <c r="P34" i="1" s="1"/>
  <c r="Q34" i="1" s="1"/>
  <c r="R34" i="1" s="1"/>
  <c r="N35" i="1"/>
  <c r="O35" i="1" l="1"/>
  <c r="P35" i="1" s="1"/>
  <c r="Q35" i="1" s="1"/>
  <c r="R35" i="1" s="1"/>
  <c r="N36" i="1"/>
  <c r="N37" i="1" l="1"/>
  <c r="O36" i="1"/>
  <c r="P36" i="1" s="1"/>
  <c r="Q36" i="1" s="1"/>
  <c r="R36" i="1" s="1"/>
  <c r="N38" i="1" l="1"/>
  <c r="O37" i="1"/>
  <c r="P37" i="1" s="1"/>
  <c r="Q37" i="1" s="1"/>
  <c r="R37" i="1" s="1"/>
  <c r="N39" i="1" l="1"/>
  <c r="O38" i="1"/>
  <c r="P38" i="1" s="1"/>
  <c r="Q38" i="1" s="1"/>
  <c r="R38" i="1" s="1"/>
  <c r="N40" i="1" l="1"/>
  <c r="O39" i="1"/>
  <c r="P39" i="1" s="1"/>
  <c r="Q39" i="1" s="1"/>
  <c r="R39" i="1" s="1"/>
  <c r="O40" i="1" l="1"/>
  <c r="P40" i="1" s="1"/>
  <c r="Q40" i="1" s="1"/>
  <c r="R40" i="1" s="1"/>
  <c r="N41" i="1"/>
  <c r="O41" i="1" l="1"/>
  <c r="P41" i="1" s="1"/>
  <c r="Q41" i="1" s="1"/>
  <c r="R41" i="1" s="1"/>
  <c r="N42" i="1"/>
  <c r="O42" i="1" l="1"/>
  <c r="P42" i="1" s="1"/>
  <c r="Q42" i="1" s="1"/>
  <c r="R42" i="1" s="1"/>
  <c r="N43" i="1"/>
  <c r="O43" i="1" l="1"/>
  <c r="P43" i="1" s="1"/>
  <c r="Q43" i="1" s="1"/>
  <c r="R43" i="1" s="1"/>
  <c r="N44" i="1"/>
  <c r="N45" i="1" l="1"/>
  <c r="O44" i="1"/>
  <c r="P44" i="1" s="1"/>
  <c r="Q44" i="1" s="1"/>
  <c r="R44" i="1" s="1"/>
  <c r="N46" i="1" l="1"/>
  <c r="O45" i="1"/>
  <c r="P45" i="1" s="1"/>
  <c r="Q45" i="1" s="1"/>
  <c r="R45" i="1" s="1"/>
  <c r="N47" i="1" l="1"/>
  <c r="O46" i="1"/>
  <c r="P46" i="1" s="1"/>
  <c r="Q46" i="1" s="1"/>
  <c r="R46" i="1" s="1"/>
  <c r="N48" i="1" l="1"/>
  <c r="O47" i="1"/>
  <c r="P47" i="1" s="1"/>
  <c r="Q47" i="1" s="1"/>
  <c r="R47" i="1" s="1"/>
  <c r="O48" i="1" l="1"/>
  <c r="P48" i="1" s="1"/>
  <c r="Q48" i="1" s="1"/>
  <c r="R48" i="1" s="1"/>
  <c r="N49" i="1"/>
  <c r="N50" i="1" l="1"/>
  <c r="O49" i="1"/>
  <c r="P49" i="1" s="1"/>
  <c r="Q49" i="1" s="1"/>
  <c r="R49" i="1" s="1"/>
  <c r="O50" i="1" l="1"/>
  <c r="P50" i="1" s="1"/>
  <c r="Q50" i="1" s="1"/>
  <c r="R50" i="1" s="1"/>
  <c r="N51" i="1"/>
  <c r="O51" i="1" s="1"/>
  <c r="P51" i="1" s="1"/>
  <c r="Q51" i="1" s="1"/>
  <c r="R51" i="1" s="1"/>
</calcChain>
</file>

<file path=xl/sharedStrings.xml><?xml version="1.0" encoding="utf-8"?>
<sst xmlns="http://schemas.openxmlformats.org/spreadsheetml/2006/main" count="34" uniqueCount="29">
  <si>
    <r>
      <t>λ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-1</t>
    </r>
  </si>
  <si>
    <t>K</t>
  </si>
  <si>
    <t>ν</t>
  </si>
  <si>
    <t>w*</t>
  </si>
  <si>
    <t>s</t>
  </si>
  <si>
    <t>t</t>
  </si>
  <si>
    <t>λ</t>
  </si>
  <si>
    <t>Pa.s</t>
  </si>
  <si>
    <t>μ</t>
  </si>
  <si>
    <r>
      <t>Pa.m</t>
    </r>
    <r>
      <rPr>
        <vertAlign val="superscript"/>
        <sz val="11"/>
        <color theme="1"/>
        <rFont val="Times New Roman"/>
        <family val="1"/>
      </rPr>
      <t>1/2</t>
    </r>
  </si>
  <si>
    <r>
      <t>ΔK</t>
    </r>
    <r>
      <rPr>
        <b/>
        <i/>
        <vertAlign val="subscript"/>
        <sz val="12"/>
        <color theme="1"/>
        <rFont val="Times New Roman"/>
        <family val="1"/>
      </rPr>
      <t>IC</t>
    </r>
  </si>
  <si>
    <t>Pa</t>
  </si>
  <si>
    <t>Δσ</t>
  </si>
  <si>
    <t>m/s</t>
  </si>
  <si>
    <t>V</t>
  </si>
  <si>
    <t>E</t>
  </si>
  <si>
    <t>μ'</t>
  </si>
  <si>
    <t>m</t>
  </si>
  <si>
    <t>H</t>
  </si>
  <si>
    <t>E'</t>
  </si>
  <si>
    <t>h</t>
  </si>
  <si>
    <t>w</t>
  </si>
  <si>
    <t>Ω</t>
  </si>
  <si>
    <r>
      <t>λ</t>
    </r>
    <r>
      <rPr>
        <b/>
        <i/>
        <vertAlign val="superscript"/>
        <sz val="12"/>
        <color theme="1"/>
        <rFont val="Times New Roman"/>
        <family val="1"/>
      </rPr>
      <t>2</t>
    </r>
    <r>
      <rPr>
        <b/>
        <i/>
        <sz val="12"/>
        <color theme="1"/>
        <rFont val="Times New Roman"/>
        <family val="1"/>
      </rPr>
      <t>-4ξ</t>
    </r>
    <r>
      <rPr>
        <b/>
        <i/>
        <vertAlign val="superscript"/>
        <sz val="12"/>
        <color theme="1"/>
        <rFont val="Times New Roman"/>
        <family val="1"/>
      </rPr>
      <t>2</t>
    </r>
  </si>
  <si>
    <t>ξ</t>
  </si>
  <si>
    <t>z</t>
  </si>
  <si>
    <t>Unit</t>
  </si>
  <si>
    <t>Parameters</t>
  </si>
  <si>
    <t>Calculated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</si>
</sst>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i/>
      <vertAlign val="subscript"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EP3D!$N$2:$N$52</c:f>
              <c:numCache>
                <c:formatCode>General</c:formatCode>
                <c:ptCount val="51"/>
                <c:pt idx="0">
                  <c:v>-2.3E-2</c:v>
                </c:pt>
                <c:pt idx="1">
                  <c:v>-2.2079999999999999E-2</c:v>
                </c:pt>
                <c:pt idx="2">
                  <c:v>-2.1159999999999998E-2</c:v>
                </c:pt>
                <c:pt idx="3">
                  <c:v>-2.0239999999999998E-2</c:v>
                </c:pt>
                <c:pt idx="4">
                  <c:v>-1.9319999999999997E-2</c:v>
                </c:pt>
                <c:pt idx="5">
                  <c:v>-1.8399999999999996E-2</c:v>
                </c:pt>
                <c:pt idx="6">
                  <c:v>-1.7479999999999996E-2</c:v>
                </c:pt>
                <c:pt idx="7">
                  <c:v>-1.6559999999999995E-2</c:v>
                </c:pt>
                <c:pt idx="8">
                  <c:v>-1.5639999999999994E-2</c:v>
                </c:pt>
                <c:pt idx="9">
                  <c:v>-1.4719999999999994E-2</c:v>
                </c:pt>
                <c:pt idx="10">
                  <c:v>-1.3799999999999993E-2</c:v>
                </c:pt>
                <c:pt idx="11">
                  <c:v>-1.2879999999999992E-2</c:v>
                </c:pt>
                <c:pt idx="12">
                  <c:v>-1.1959999999999991E-2</c:v>
                </c:pt>
                <c:pt idx="13">
                  <c:v>-1.1039999999999991E-2</c:v>
                </c:pt>
                <c:pt idx="14">
                  <c:v>-1.011999999999999E-2</c:v>
                </c:pt>
                <c:pt idx="15">
                  <c:v>-9.1999999999999894E-3</c:v>
                </c:pt>
                <c:pt idx="16">
                  <c:v>-8.2799999999999888E-3</c:v>
                </c:pt>
                <c:pt idx="17">
                  <c:v>-7.3599999999999889E-3</c:v>
                </c:pt>
                <c:pt idx="18">
                  <c:v>-6.4399999999999891E-3</c:v>
                </c:pt>
                <c:pt idx="19">
                  <c:v>-5.5199999999999893E-3</c:v>
                </c:pt>
                <c:pt idx="20">
                  <c:v>-4.5999999999999895E-3</c:v>
                </c:pt>
                <c:pt idx="21">
                  <c:v>-3.6799999999999897E-3</c:v>
                </c:pt>
                <c:pt idx="22">
                  <c:v>-2.7599999999999899E-3</c:v>
                </c:pt>
                <c:pt idx="23">
                  <c:v>-1.8399999999999899E-3</c:v>
                </c:pt>
                <c:pt idx="24">
                  <c:v>-9.1999999999998984E-4</c:v>
                </c:pt>
                <c:pt idx="25">
                  <c:v>1.0191500421363742E-17</c:v>
                </c:pt>
                <c:pt idx="26">
                  <c:v>9.2000000000001022E-4</c:v>
                </c:pt>
                <c:pt idx="27">
                  <c:v>1.8400000000000102E-3</c:v>
                </c:pt>
                <c:pt idx="28">
                  <c:v>2.7600000000000103E-3</c:v>
                </c:pt>
                <c:pt idx="29">
                  <c:v>3.6800000000000105E-3</c:v>
                </c:pt>
                <c:pt idx="30">
                  <c:v>4.6000000000000103E-3</c:v>
                </c:pt>
                <c:pt idx="31">
                  <c:v>5.5200000000000101E-3</c:v>
                </c:pt>
                <c:pt idx="32">
                  <c:v>6.44000000000001E-3</c:v>
                </c:pt>
                <c:pt idx="33">
                  <c:v>7.3600000000000098E-3</c:v>
                </c:pt>
                <c:pt idx="34">
                  <c:v>8.2800000000000096E-3</c:v>
                </c:pt>
                <c:pt idx="35">
                  <c:v>9.2000000000000103E-3</c:v>
                </c:pt>
                <c:pt idx="36">
                  <c:v>1.0120000000000011E-2</c:v>
                </c:pt>
                <c:pt idx="37">
                  <c:v>1.1040000000000012E-2</c:v>
                </c:pt>
                <c:pt idx="38">
                  <c:v>1.1960000000000012E-2</c:v>
                </c:pt>
                <c:pt idx="39">
                  <c:v>1.2880000000000013E-2</c:v>
                </c:pt>
                <c:pt idx="40">
                  <c:v>1.3800000000000014E-2</c:v>
                </c:pt>
                <c:pt idx="41">
                  <c:v>1.4720000000000014E-2</c:v>
                </c:pt>
                <c:pt idx="42">
                  <c:v>1.5640000000000015E-2</c:v>
                </c:pt>
                <c:pt idx="43">
                  <c:v>1.6560000000000016E-2</c:v>
                </c:pt>
                <c:pt idx="44">
                  <c:v>1.7480000000000016E-2</c:v>
                </c:pt>
                <c:pt idx="45">
                  <c:v>1.8400000000000017E-2</c:v>
                </c:pt>
                <c:pt idx="46">
                  <c:v>1.9320000000000018E-2</c:v>
                </c:pt>
                <c:pt idx="47">
                  <c:v>2.0240000000000018E-2</c:v>
                </c:pt>
                <c:pt idx="48">
                  <c:v>2.1160000000000019E-2</c:v>
                </c:pt>
                <c:pt idx="49">
                  <c:v>2.208000000000002E-2</c:v>
                </c:pt>
                <c:pt idx="50">
                  <c:v>2.3E-2</c:v>
                </c:pt>
              </c:numCache>
            </c:numRef>
          </c:xVal>
          <c:yVal>
            <c:numRef>
              <c:f>EP3D!$R$2:$R$52</c:f>
              <c:numCache>
                <c:formatCode>General</c:formatCode>
                <c:ptCount val="51"/>
                <c:pt idx="0">
                  <c:v>0</c:v>
                </c:pt>
                <c:pt idx="1">
                  <c:v>4.8686162470151513E-6</c:v>
                </c:pt>
                <c:pt idx="2">
                  <c:v>6.9946349555943179E-6</c:v>
                </c:pt>
                <c:pt idx="3">
                  <c:v>8.7105435955196832E-6</c:v>
                </c:pt>
                <c:pt idx="4">
                  <c:v>1.0237289615192758E-5</c:v>
                </c:pt>
                <c:pt idx="5">
                  <c:v>1.1662763135571345E-5</c:v>
                </c:pt>
                <c:pt idx="6">
                  <c:v>1.3035049972188435E-5</c:v>
                </c:pt>
                <c:pt idx="7">
                  <c:v>1.4386376328478023E-5</c:v>
                </c:pt>
                <c:pt idx="8">
                  <c:v>1.5742283223318339E-5</c:v>
                </c:pt>
                <c:pt idx="9">
                  <c:v>1.7126410370517436E-5</c:v>
                </c:pt>
                <c:pt idx="10">
                  <c:v>1.8564109002655877E-5</c:v>
                </c:pt>
                <c:pt idx="11">
                  <c:v>2.0086692536399982E-5</c:v>
                </c:pt>
                <c:pt idx="12">
                  <c:v>2.1738887953169625E-5</c:v>
                </c:pt>
                <c:pt idx="13">
                  <c:v>2.3597100415739442E-5</c:v>
                </c:pt>
                <c:pt idx="14">
                  <c:v>2.5839200390341684E-5</c:v>
                </c:pt>
                <c:pt idx="15">
                  <c:v>2.9237972225165729E-5</c:v>
                </c:pt>
                <c:pt idx="16">
                  <c:v>3.1636456419577819E-5</c:v>
                </c:pt>
                <c:pt idx="17">
                  <c:v>3.3393591051014633E-5</c:v>
                </c:pt>
                <c:pt idx="18">
                  <c:v>3.4788022551405628E-5</c:v>
                </c:pt>
                <c:pt idx="19">
                  <c:v>3.5914258092956426E-5</c:v>
                </c:pt>
                <c:pt idx="20">
                  <c:v>3.6820333271609802E-5</c:v>
                </c:pt>
                <c:pt idx="21">
                  <c:v>3.7534711740617584E-5</c:v>
                </c:pt>
                <c:pt idx="22">
                  <c:v>3.8075511196516667E-5</c:v>
                </c:pt>
                <c:pt idx="23">
                  <c:v>3.8454519428355533E-5</c:v>
                </c:pt>
                <c:pt idx="24">
                  <c:v>3.8679179918302777E-5</c:v>
                </c:pt>
                <c:pt idx="25">
                  <c:v>3.8753624615891974E-5</c:v>
                </c:pt>
                <c:pt idx="26">
                  <c:v>3.8679179918302777E-5</c:v>
                </c:pt>
                <c:pt idx="27">
                  <c:v>3.8454519428355533E-5</c:v>
                </c:pt>
                <c:pt idx="28">
                  <c:v>3.807551119651666E-5</c:v>
                </c:pt>
                <c:pt idx="29">
                  <c:v>3.7534711740617577E-5</c:v>
                </c:pt>
                <c:pt idx="30">
                  <c:v>3.6820333271609782E-5</c:v>
                </c:pt>
                <c:pt idx="31">
                  <c:v>3.5914258092956405E-5</c:v>
                </c:pt>
                <c:pt idx="32">
                  <c:v>3.4788022551405614E-5</c:v>
                </c:pt>
                <c:pt idx="33">
                  <c:v>3.3393591051014586E-5</c:v>
                </c:pt>
                <c:pt idx="34">
                  <c:v>3.163645641957773E-5</c:v>
                </c:pt>
                <c:pt idx="35">
                  <c:v>2.923797222516581E-5</c:v>
                </c:pt>
                <c:pt idx="36">
                  <c:v>2.5839200390341573E-5</c:v>
                </c:pt>
                <c:pt idx="37">
                  <c:v>2.3597100415739388E-5</c:v>
                </c:pt>
                <c:pt idx="38">
                  <c:v>2.1738887953169585E-5</c:v>
                </c:pt>
                <c:pt idx="39">
                  <c:v>2.0086692536399938E-5</c:v>
                </c:pt>
                <c:pt idx="40">
                  <c:v>1.8564109002655837E-5</c:v>
                </c:pt>
                <c:pt idx="41">
                  <c:v>1.7126410370517409E-5</c:v>
                </c:pt>
                <c:pt idx="42">
                  <c:v>1.5742283223318316E-5</c:v>
                </c:pt>
                <c:pt idx="43">
                  <c:v>1.4386376328477992E-5</c:v>
                </c:pt>
                <c:pt idx="44">
                  <c:v>1.3035049972188405E-5</c:v>
                </c:pt>
                <c:pt idx="45">
                  <c:v>1.1662763135571311E-5</c:v>
                </c:pt>
                <c:pt idx="46">
                  <c:v>1.0237289615192722E-5</c:v>
                </c:pt>
                <c:pt idx="47">
                  <c:v>8.7105435955196477E-6</c:v>
                </c:pt>
                <c:pt idx="48">
                  <c:v>6.9946349555942865E-6</c:v>
                </c:pt>
                <c:pt idx="49">
                  <c:v>4.8686162470150954E-6</c:v>
                </c:pt>
                <c:pt idx="5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A5-4F6B-9006-A5E466490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871024"/>
        <c:axId val="823873936"/>
      </c:scatterChart>
      <c:valAx>
        <c:axId val="823871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73936"/>
        <c:crosses val="autoZero"/>
        <c:crossBetween val="midCat"/>
      </c:valAx>
      <c:valAx>
        <c:axId val="82387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71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104775</xdr:rowOff>
    </xdr:from>
    <xdr:ext cx="6677025" cy="5229893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D2DBD5AC-D95C-406A-856A-035F1B1788F0}"/>
            </a:ext>
          </a:extLst>
        </xdr:cNvPr>
        <xdr:cNvSpPr txBox="1"/>
      </xdr:nvSpPr>
      <xdr:spPr>
        <a:xfrm>
          <a:off x="104775" y="104775"/>
          <a:ext cx="6677025" cy="522989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ct val="150000"/>
            </a:lnSpc>
            <a:spcAft>
              <a:spcPts val="1200"/>
            </a:spcAft>
          </a:pPr>
          <a:r>
            <a:rPr lang="en-US" sz="1200" b="1" i="0" u="sng">
              <a:latin typeface="Times New Roman" panose="02020603050405020304" pitchFamily="18" charset="0"/>
              <a:cs typeface="Times New Roman" panose="02020603050405020304" pitchFamily="18" charset="0"/>
            </a:rPr>
            <a:t>Name: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Qiao Lu</a:t>
          </a:r>
        </a:p>
        <a:p>
          <a:pPr algn="l">
            <a:lnSpc>
              <a:spcPct val="150000"/>
            </a:lnSpc>
            <a:spcAft>
              <a:spcPts val="1200"/>
            </a:spcAft>
          </a:pPr>
          <a:r>
            <a:rPr lang="en-US" sz="1200" b="1" u="sng">
              <a:latin typeface="Times New Roman" panose="02020603050405020304" pitchFamily="18" charset="0"/>
              <a:cs typeface="Times New Roman" panose="02020603050405020304" pitchFamily="18" charset="0"/>
            </a:rPr>
            <a:t>Date: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March 2nd</a:t>
          </a:r>
        </a:p>
        <a:p>
          <a:pPr algn="l">
            <a:lnSpc>
              <a:spcPct val="150000"/>
            </a:lnSpc>
            <a:spcAft>
              <a:spcPts val="1200"/>
            </a:spcAft>
          </a:pPr>
          <a:r>
            <a:rPr lang="en-US" sz="1200" b="1" u="sng">
              <a:latin typeface="Times New Roman" panose="02020603050405020304" pitchFamily="18" charset="0"/>
              <a:cs typeface="Times New Roman" panose="02020603050405020304" pitchFamily="18" charset="0"/>
            </a:rPr>
            <a:t>Thesis</a:t>
          </a:r>
          <a:r>
            <a:rPr lang="en-US" sz="1200" b="1" u="sng" baseline="0">
              <a:latin typeface="Times New Roman" panose="02020603050405020304" pitchFamily="18" charset="0"/>
              <a:cs typeface="Times New Roman" panose="02020603050405020304" pitchFamily="18" charset="0"/>
            </a:rPr>
            <a:t> title: 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Impact of Weak Interfaces and Layered Rock Properties on Hydraulic Fracture Containment and Height Growth</a:t>
          </a:r>
        </a:p>
        <a:p>
          <a:pPr algn="l">
            <a:lnSpc>
              <a:spcPct val="150000"/>
            </a:lnSpc>
            <a:spcAft>
              <a:spcPts val="1200"/>
            </a:spcAft>
          </a:pPr>
          <a:r>
            <a:rPr lang="en-US" sz="1200" b="1" u="sng">
              <a:latin typeface="Times New Roman" panose="02020603050405020304" pitchFamily="18" charset="0"/>
              <a:cs typeface="Times New Roman" panose="02020603050405020304" pitchFamily="18" charset="0"/>
            </a:rPr>
            <a:t>Description:</a:t>
          </a:r>
          <a:r>
            <a:rPr lang="en-US" sz="1200" b="1" u="sng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This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tool provides a easy access and estimation of EP3D model [Dontsov &amp; Peirce, 2015] based on the scaling solution from [Adachi et. al., 2010].  Variables are required to input in "Parameters" block (cell B2-8). Then the intermedia parameters and dimensionless groups will be automatically calculated shown in "Calculated Parameters" block. Then the dimensionless width </a:t>
          </a:r>
          <a:r>
            <a:rPr lang="el-GR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Ω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and width </a:t>
          </a:r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w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from </a:t>
          </a:r>
          <a:r>
            <a:rPr lang="en-US" sz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can be calculated based on [Adachi et. al., 2010].</a:t>
          </a:r>
        </a:p>
        <a:p>
          <a:pPr algn="l">
            <a:lnSpc>
              <a:spcPct val="150000"/>
            </a:lnSpc>
            <a:spcAft>
              <a:spcPts val="1200"/>
            </a:spcAft>
          </a:pPr>
          <a:r>
            <a:rPr lang="en-US" sz="1200" b="1" u="sng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References:</a:t>
          </a:r>
        </a:p>
        <a:p>
          <a:pPr algn="l">
            <a:lnSpc>
              <a:spcPct val="150000"/>
            </a:lnSpc>
            <a:spcAft>
              <a:spcPts val="1200"/>
            </a:spcAft>
          </a:pP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Adachi, J. I., Detournay, E., &amp; Peirce, A. P. (2010). Analysis of the classical pseudo-3D model for hydraulic fracture with equilibrium height growth across stress barriers. International Journal of Rock Mechanics and Mining Sciences, 47(4), 625-639.</a:t>
          </a:r>
        </a:p>
        <a:p>
          <a:pPr algn="l">
            <a:lnSpc>
              <a:spcPct val="150000"/>
            </a:lnSpc>
            <a:spcAft>
              <a:spcPts val="1200"/>
            </a:spcAft>
          </a:pP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Dontsov, E. V., &amp; Peirce, A. P. (2015). An enhanced pseudo-3D model for hydraulic fracturing accounting for viscous height growth, non-local elasticity, and lateral toughness. Engineering Fracture Mechanics, 142, 116-139.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30</xdr:row>
      <xdr:rowOff>185736</xdr:rowOff>
    </xdr:from>
    <xdr:to>
      <xdr:col>10</xdr:col>
      <xdr:colOff>247650</xdr:colOff>
      <xdr:row>53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A0C187-747B-4469-8045-680C023B4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38100</xdr:colOff>
      <xdr:row>8</xdr:row>
      <xdr:rowOff>76200</xdr:rowOff>
    </xdr:from>
    <xdr:ext cx="2519151" cy="222169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56ADF47-87E1-4534-AC8E-8FBBE88649D3}"/>
            </a:ext>
          </a:extLst>
        </xdr:cNvPr>
        <xdr:cNvSpPr txBox="1"/>
      </xdr:nvSpPr>
      <xdr:spPr>
        <a:xfrm>
          <a:off x="38100" y="1600200"/>
          <a:ext cx="2519151" cy="222169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ct val="150000"/>
            </a:lnSpc>
          </a:pPr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h 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	Fracture height/2</a:t>
          </a:r>
        </a:p>
        <a:p>
          <a:pPr>
            <a:lnSpc>
              <a:spcPct val="150000"/>
            </a:lnSpc>
          </a:pPr>
          <a:r>
            <a:rPr lang="en-US" sz="14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H (h*)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	Reservoir thickness</a:t>
          </a:r>
        </a:p>
        <a:p>
          <a:pPr>
            <a:lnSpc>
              <a:spcPct val="150000"/>
            </a:lnSpc>
          </a:pPr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E</a:t>
          </a:r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	Young's modulus</a:t>
          </a:r>
        </a:p>
        <a:p>
          <a:pPr>
            <a:lnSpc>
              <a:spcPct val="150000"/>
            </a:lnSpc>
          </a:pPr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Δ</a:t>
          </a:r>
          <a:r>
            <a:rPr lang="el-GR" sz="1400" i="1">
              <a:latin typeface="Times New Roman" panose="02020603050405020304" pitchFamily="18" charset="0"/>
              <a:cs typeface="Times New Roman" panose="02020603050405020304" pitchFamily="18" charset="0"/>
            </a:rPr>
            <a:t>σ</a:t>
          </a:r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	Stress contrast</a:t>
          </a:r>
        </a:p>
        <a:p>
          <a:pPr>
            <a:lnSpc>
              <a:spcPct val="150000"/>
            </a:lnSpc>
          </a:pPr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	Fluid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viscosity</a:t>
          </a:r>
        </a:p>
        <a:p>
          <a:pPr>
            <a:lnSpc>
              <a:spcPct val="150000"/>
            </a:lnSpc>
          </a:pPr>
          <a:r>
            <a:rPr lang="en-US" sz="14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t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	Injection time</a:t>
          </a:r>
        </a:p>
        <a:p>
          <a:pPr>
            <a:lnSpc>
              <a:spcPct val="150000"/>
            </a:lnSpc>
          </a:pPr>
          <a:r>
            <a:rPr lang="en-US" sz="14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ν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	Poisson ratio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7</xdr:col>
      <xdr:colOff>238125</xdr:colOff>
      <xdr:row>0</xdr:row>
      <xdr:rowOff>57150</xdr:rowOff>
    </xdr:from>
    <xdr:ext cx="3505200" cy="194886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96BD45B-CD33-4BC4-A29B-B67BF8501186}"/>
                </a:ext>
              </a:extLst>
            </xdr:cNvPr>
            <xdr:cNvSpPr txBox="1"/>
          </xdr:nvSpPr>
          <xdr:spPr>
            <a:xfrm>
              <a:off x="5762625" y="57150"/>
              <a:ext cx="3505200" cy="194886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>
                <a:lnSpc>
                  <a:spcPct val="150000"/>
                </a:lnSpc>
              </a:pPr>
              <a:r>
                <a:rPr lang="en-US" sz="14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E'</a:t>
              </a:r>
              <a:r>
                <a:rPr lang="en-US" sz="1400" i="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n-US" sz="1400" i="1" baseline="0"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</m:ctrlPr>
                    </m:fPr>
                    <m:num>
                      <m:r>
                        <a:rPr lang="en-US" sz="1400" b="0" i="1" baseline="0"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𝐸</m:t>
                      </m:r>
                    </m:num>
                    <m:den>
                      <m:r>
                        <a:rPr lang="en-US" sz="1400" b="0" i="1" baseline="0"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(1−</m:t>
                      </m:r>
                      <m:sSup>
                        <m:sSupPr>
                          <m:ctrlPr>
                            <a:rPr lang="en-US" sz="1400" b="0" i="1" baseline="0">
                              <a:latin typeface="Cambria Math" panose="02040503050406030204" pitchFamily="18" charset="0"/>
                              <a:cs typeface="Times New Roman" panose="02020603050405020304" pitchFamily="18" charset="0"/>
                            </a:rPr>
                          </m:ctrlPr>
                        </m:sSupPr>
                        <m:e>
                          <m:r>
                            <m:rPr>
                              <m:sty m:val="p"/>
                            </m:rPr>
                            <a:rPr lang="el-GR" sz="1400" b="0" i="1" baseline="0">
                              <a:latin typeface="Cambria Math" panose="02040503050406030204" pitchFamily="18" charset="0"/>
                              <a:cs typeface="Times New Roman" panose="02020603050405020304" pitchFamily="18" charset="0"/>
                            </a:rPr>
                            <m:t>ν</m:t>
                          </m:r>
                        </m:e>
                        <m:sup>
                          <m:r>
                            <a:rPr lang="en-US" sz="1400" b="0" i="1" baseline="0">
                              <a:latin typeface="Cambria Math" panose="02040503050406030204" pitchFamily="18" charset="0"/>
                              <a:cs typeface="Times New Roman" panose="02020603050405020304" pitchFamily="18" charset="0"/>
                            </a:rPr>
                            <m:t>2</m:t>
                          </m:r>
                        </m:sup>
                      </m:sSup>
                      <m:r>
                        <a:rPr lang="en-US" sz="1400" b="0" i="1" baseline="0"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)</m:t>
                      </m:r>
                    </m:den>
                  </m:f>
                </m:oMath>
              </a14:m>
              <a:r>
                <a:rPr lang="en-US" sz="14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	Plane strain Young's Modulus</a:t>
              </a:r>
            </a:p>
            <a:p>
              <a:pPr>
                <a:lnSpc>
                  <a:spcPct val="150000"/>
                </a:lnSpc>
              </a:pPr>
              <a:r>
                <a:rPr lang="el-GR" sz="1400" i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μ</a:t>
              </a:r>
              <a:r>
                <a:rPr lang="en-US" sz="1400" i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'</a:t>
              </a:r>
              <a:r>
                <a:rPr lang="en-US" sz="1400" i="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=</a:t>
              </a:r>
              <a:r>
                <a:rPr lang="en-US" sz="14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12</a:t>
              </a:r>
              <a:r>
                <a:rPr lang="el-GR" sz="1400" i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μ</a:t>
              </a:r>
              <a:r>
                <a:rPr lang="en-US" sz="1400" i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	</a:t>
              </a:r>
            </a:p>
            <a:p>
              <a:pPr>
                <a:lnSpc>
                  <a:spcPct val="150000"/>
                </a:lnSpc>
              </a:pPr>
              <a:r>
                <a:rPr lang="en-US" sz="14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V=</a:t>
              </a:r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</m:ctrlPr>
                    </m:fPr>
                    <m:num>
                      <m:r>
                        <a:rPr lang="en-US" sz="1400" b="0" i="1"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2</m:t>
                      </m:r>
                      <m:r>
                        <a:rPr lang="en-US" sz="1400" b="0" i="1"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h</m:t>
                      </m:r>
                      <m:r>
                        <a:rPr lang="en-US" sz="1400" b="0" i="1"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−</m:t>
                      </m:r>
                      <m:r>
                        <a:rPr lang="en-US" sz="1400" b="0" i="1"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𝐻</m:t>
                      </m:r>
                    </m:num>
                    <m:den>
                      <m:r>
                        <a:rPr lang="en-US" sz="1400" b="0" i="1"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𝑡</m:t>
                      </m:r>
                    </m:den>
                  </m:f>
                </m:oMath>
              </a14:m>
              <a:r>
                <a:rPr lang="en-US" sz="1400">
                  <a:latin typeface="Times New Roman" panose="02020603050405020304" pitchFamily="18" charset="0"/>
                  <a:cs typeface="Times New Roman" panose="02020603050405020304" pitchFamily="18" charset="0"/>
                </a:rPr>
                <a:t>	Height</a:t>
              </a:r>
              <a:r>
                <a:rPr lang="en-US" sz="14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growth velocity</a:t>
              </a:r>
            </a:p>
            <a:p>
              <a:pPr>
                <a:lnSpc>
                  <a:spcPct val="150000"/>
                </a:lnSpc>
              </a:pPr>
              <a:r>
                <a:rPr lang="el-GR" sz="14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Δ</a:t>
              </a:r>
              <a:r>
                <a:rPr lang="en-US" sz="14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K</a:t>
              </a:r>
              <a:r>
                <a:rPr lang="en-US" sz="1400" i="1" baseline="-25000">
                  <a:latin typeface="Times New Roman" panose="02020603050405020304" pitchFamily="18" charset="0"/>
                  <a:cs typeface="Times New Roman" panose="02020603050405020304" pitchFamily="18" charset="0"/>
                </a:rPr>
                <a:t>IC</a:t>
              </a:r>
              <a:r>
                <a:rPr lang="en-US" sz="1400" i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r>
                <a:rPr lang="en-US" sz="14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	The apparent toughness based on 	[Dontsov &amp; Peirce, 2015]</a:t>
              </a:r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96BD45B-CD33-4BC4-A29B-B67BF8501186}"/>
                </a:ext>
              </a:extLst>
            </xdr:cNvPr>
            <xdr:cNvSpPr txBox="1"/>
          </xdr:nvSpPr>
          <xdr:spPr>
            <a:xfrm>
              <a:off x="5762625" y="57150"/>
              <a:ext cx="3505200" cy="194886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>
                <a:lnSpc>
                  <a:spcPct val="150000"/>
                </a:lnSpc>
              </a:pPr>
              <a:r>
                <a:rPr lang="en-US" sz="14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E'</a:t>
              </a:r>
              <a:r>
                <a:rPr lang="en-US" sz="1400" i="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=</a:t>
              </a:r>
              <a:r>
                <a:rPr lang="en-US" sz="1400" b="0" i="0" baseline="0">
                  <a:latin typeface="Cambria Math" panose="02040503050406030204" pitchFamily="18" charset="0"/>
                  <a:cs typeface="Times New Roman" panose="02020603050405020304" pitchFamily="18" charset="0"/>
                </a:rPr>
                <a:t>𝐸/((1−</a:t>
              </a:r>
              <a:r>
                <a:rPr lang="el-GR" sz="1400" b="0" i="0" baseline="0">
                  <a:latin typeface="Cambria Math" panose="02040503050406030204" pitchFamily="18" charset="0"/>
                  <a:cs typeface="Times New Roman" panose="02020603050405020304" pitchFamily="18" charset="0"/>
                </a:rPr>
                <a:t>ν</a:t>
              </a:r>
              <a:r>
                <a:rPr lang="en-US" sz="1400" b="0" i="0" baseline="0">
                  <a:latin typeface="Cambria Math" panose="02040503050406030204" pitchFamily="18" charset="0"/>
                  <a:cs typeface="Times New Roman" panose="02020603050405020304" pitchFamily="18" charset="0"/>
                </a:rPr>
                <a:t>^2))</a:t>
              </a:r>
              <a:r>
                <a:rPr lang="en-US" sz="14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	Plane strain Young's Modulus</a:t>
              </a:r>
            </a:p>
            <a:p>
              <a:pPr>
                <a:lnSpc>
                  <a:spcPct val="150000"/>
                </a:lnSpc>
              </a:pPr>
              <a:r>
                <a:rPr lang="el-GR" sz="1400" i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μ</a:t>
              </a:r>
              <a:r>
                <a:rPr lang="en-US" sz="1400" i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'</a:t>
              </a:r>
              <a:r>
                <a:rPr lang="en-US" sz="1400" i="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=</a:t>
              </a:r>
              <a:r>
                <a:rPr lang="en-US" sz="14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12</a:t>
              </a:r>
              <a:r>
                <a:rPr lang="el-GR" sz="1400" i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μ</a:t>
              </a:r>
              <a:r>
                <a:rPr lang="en-US" sz="1400" i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	</a:t>
              </a:r>
            </a:p>
            <a:p>
              <a:pPr>
                <a:lnSpc>
                  <a:spcPct val="150000"/>
                </a:lnSpc>
              </a:pPr>
              <a:r>
                <a:rPr lang="en-US" sz="14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V=</a:t>
              </a:r>
              <a:r>
                <a:rPr lang="en-US" sz="140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(</a:t>
              </a:r>
              <a:r>
                <a:rPr lang="en-US" sz="1400" b="0" i="0">
                  <a:latin typeface="Cambria Math" panose="02040503050406030204" pitchFamily="18" charset="0"/>
                  <a:cs typeface="Times New Roman" panose="02020603050405020304" pitchFamily="18" charset="0"/>
                </a:rPr>
                <a:t>2ℎ−𝐻)/𝑡</a:t>
              </a:r>
              <a:r>
                <a:rPr lang="en-US" sz="1400">
                  <a:latin typeface="Times New Roman" panose="02020603050405020304" pitchFamily="18" charset="0"/>
                  <a:cs typeface="Times New Roman" panose="02020603050405020304" pitchFamily="18" charset="0"/>
                </a:rPr>
                <a:t>	Height</a:t>
              </a:r>
              <a:r>
                <a:rPr lang="en-US" sz="14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growth velocity</a:t>
              </a:r>
            </a:p>
            <a:p>
              <a:pPr>
                <a:lnSpc>
                  <a:spcPct val="150000"/>
                </a:lnSpc>
              </a:pPr>
              <a:r>
                <a:rPr lang="el-GR" sz="14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Δ</a:t>
              </a:r>
              <a:r>
                <a:rPr lang="en-US" sz="1400" i="1">
                  <a:latin typeface="Times New Roman" panose="02020603050405020304" pitchFamily="18" charset="0"/>
                  <a:cs typeface="Times New Roman" panose="02020603050405020304" pitchFamily="18" charset="0"/>
                </a:rPr>
                <a:t>K</a:t>
              </a:r>
              <a:r>
                <a:rPr lang="en-US" sz="1400" i="1" baseline="-25000">
                  <a:latin typeface="Times New Roman" panose="02020603050405020304" pitchFamily="18" charset="0"/>
                  <a:cs typeface="Times New Roman" panose="02020603050405020304" pitchFamily="18" charset="0"/>
                </a:rPr>
                <a:t>IC</a:t>
              </a:r>
              <a:r>
                <a:rPr lang="en-US" sz="1400" i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r>
                <a:rPr lang="en-US" sz="14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	The apparent toughness based on 	[Dontsov &amp; Peirce, 2015]</a:t>
              </a:r>
            </a:p>
          </xdr:txBody>
        </xdr:sp>
      </mc:Fallback>
    </mc:AlternateContent>
    <xdr:clientData/>
  </xdr:oneCellAnchor>
  <xdr:twoCellAnchor>
    <xdr:from>
      <xdr:col>4</xdr:col>
      <xdr:colOff>200025</xdr:colOff>
      <xdr:row>18</xdr:row>
      <xdr:rowOff>9525</xdr:rowOff>
    </xdr:from>
    <xdr:to>
      <xdr:col>8</xdr:col>
      <xdr:colOff>476250</xdr:colOff>
      <xdr:row>30</xdr:row>
      <xdr:rowOff>58697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89002041-16A0-4F7B-8E66-377D054AD3E5}"/>
            </a:ext>
          </a:extLst>
        </xdr:cNvPr>
        <xdr:cNvGrpSpPr/>
      </xdr:nvGrpSpPr>
      <xdr:grpSpPr>
        <a:xfrm>
          <a:off x="3019425" y="3638550"/>
          <a:ext cx="3590925" cy="2335172"/>
          <a:chOff x="2819400" y="3571875"/>
          <a:chExt cx="3590925" cy="2335172"/>
        </a:xfrm>
      </xdr:grpSpPr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BD0CA6E-AA34-4426-93E6-9A1263B746F1}"/>
              </a:ext>
            </a:extLst>
          </xdr:cNvPr>
          <xdr:cNvSpPr txBox="1"/>
        </xdr:nvSpPr>
        <xdr:spPr>
          <a:xfrm>
            <a:off x="3638550" y="5543550"/>
            <a:ext cx="1979709" cy="36349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ct val="150000"/>
              </a:lnSpc>
            </a:pPr>
            <a:r>
              <a:rPr lang="en-US" sz="1400" i="1">
                <a:latin typeface="Times New Roman" panose="02020603050405020304" pitchFamily="18" charset="0"/>
                <a:cs typeface="Times New Roman" panose="02020603050405020304" pitchFamily="18" charset="0"/>
              </a:rPr>
              <a:t>From</a:t>
            </a:r>
            <a:r>
              <a:rPr lang="en-US" sz="1400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Adachi et. al. 2010</a:t>
            </a:r>
            <a:endParaRPr lang="en-US" sz="1400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77D02775-0CD5-464B-BD26-8DC476462F7B}"/>
              </a:ext>
            </a:extLst>
          </xdr:cNvPr>
          <xdr:cNvGrpSpPr/>
        </xdr:nvGrpSpPr>
        <xdr:grpSpPr>
          <a:xfrm>
            <a:off x="2819400" y="3571875"/>
            <a:ext cx="3590925" cy="1960396"/>
            <a:chOff x="3676650" y="3181350"/>
            <a:chExt cx="3590925" cy="1960396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CB240069-D7BF-4C22-8974-E34260297BD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543425" y="3305175"/>
              <a:ext cx="1076475" cy="438211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6" name="Picture 5">
              <a:extLst>
                <a:ext uri="{FF2B5EF4-FFF2-40B4-BE49-F238E27FC236}">
                  <a16:creationId xmlns:a16="http://schemas.microsoft.com/office/drawing/2014/main" id="{F23E4C48-5717-4140-B25D-AC1F9E4DBC4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857625" y="3267075"/>
              <a:ext cx="543001" cy="514422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9A9A2FA2-9CCD-44CF-A648-8089246FC93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705475" y="3181350"/>
              <a:ext cx="1324160" cy="609685"/>
            </a:xfrm>
            <a:prstGeom prst="rect">
              <a:avLst/>
            </a:prstGeom>
          </xdr:spPr>
        </xdr:pic>
        <xdr:pic>
          <xdr:nvPicPr>
            <xdr:cNvPr id="9" name="Picture 8">
              <a:extLst>
                <a:ext uri="{FF2B5EF4-FFF2-40B4-BE49-F238E27FC236}">
                  <a16:creationId xmlns:a16="http://schemas.microsoft.com/office/drawing/2014/main" id="{6364EDC0-F575-4443-8A2D-AE116BEA7AE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676650" y="3857625"/>
              <a:ext cx="3590925" cy="1284121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4</xdr:col>
      <xdr:colOff>114300</xdr:colOff>
      <xdr:row>11</xdr:row>
      <xdr:rowOff>9525</xdr:rowOff>
    </xdr:from>
    <xdr:to>
      <xdr:col>10</xdr:col>
      <xdr:colOff>619125</xdr:colOff>
      <xdr:row>16</xdr:row>
      <xdr:rowOff>115847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AD059A8D-5931-4424-9205-F5CFE9389336}"/>
            </a:ext>
          </a:extLst>
        </xdr:cNvPr>
        <xdr:cNvGrpSpPr/>
      </xdr:nvGrpSpPr>
      <xdr:grpSpPr>
        <a:xfrm>
          <a:off x="2933700" y="2305050"/>
          <a:ext cx="5038725" cy="1058822"/>
          <a:chOff x="3371850" y="1971675"/>
          <a:chExt cx="5038725" cy="1058822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A20172BA-FAB7-4651-9493-2BAEBEA193B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752851" y="1971675"/>
            <a:ext cx="3943350" cy="753876"/>
          </a:xfrm>
          <a:prstGeom prst="rect">
            <a:avLst/>
          </a:prstGeom>
        </xdr:spPr>
      </xdr:pic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875300C3-D26A-4841-833B-63215910EE6B}"/>
              </a:ext>
            </a:extLst>
          </xdr:cNvPr>
          <xdr:cNvSpPr txBox="1"/>
        </xdr:nvSpPr>
        <xdr:spPr>
          <a:xfrm>
            <a:off x="3371850" y="2667000"/>
            <a:ext cx="5038725" cy="36349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>
              <a:lnSpc>
                <a:spcPct val="150000"/>
              </a:lnSpc>
            </a:pPr>
            <a:r>
              <a:rPr lang="en-US" sz="1400" i="1">
                <a:latin typeface="Times New Roman" panose="02020603050405020304" pitchFamily="18" charset="0"/>
                <a:cs typeface="Times New Roman" panose="02020603050405020304" pitchFamily="18" charset="0"/>
              </a:rPr>
              <a:t>From</a:t>
            </a:r>
            <a:r>
              <a:rPr lang="en-US" sz="1400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Dontsov &amp; Peirce, 2015, Eq. 25 where C=0.21 and C</a:t>
            </a:r>
            <a:r>
              <a:rPr lang="en-US" sz="1400" i="1" baseline="-25000">
                <a:latin typeface="Times New Roman" panose="02020603050405020304" pitchFamily="18" charset="0"/>
                <a:cs typeface="Times New Roman" panose="02020603050405020304" pitchFamily="18" charset="0"/>
              </a:rPr>
              <a:t>2</a:t>
            </a:r>
            <a:r>
              <a:rPr lang="en-US" sz="1400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=0</a:t>
            </a:r>
            <a:endParaRPr lang="en-US" sz="1400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ok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se II DATA"/>
      <sheetName val="Psi Unit"/>
      <sheetName val="Phase II Prop1"/>
      <sheetName val="Phase II Prop2 "/>
      <sheetName val="Phase I Experiments"/>
      <sheetName val="Phase I Prop1"/>
      <sheetName val="Phase I Prop2"/>
      <sheetName val="Phase I Simulation"/>
    </sheetNames>
    <sheetDataSet>
      <sheetData sheetId="0">
        <row r="3">
          <cell r="F3">
            <v>0.64</v>
          </cell>
        </row>
      </sheetData>
      <sheetData sheetId="1"/>
      <sheetData sheetId="2">
        <row r="3">
          <cell r="F3">
            <v>1.0775862068965518</v>
          </cell>
        </row>
      </sheetData>
      <sheetData sheetId="3">
        <row r="5">
          <cell r="L5">
            <v>1.5290519877675841</v>
          </cell>
        </row>
      </sheetData>
      <sheetData sheetId="4">
        <row r="2">
          <cell r="K2">
            <v>1.3511111111111107</v>
          </cell>
        </row>
      </sheetData>
      <sheetData sheetId="5">
        <row r="2">
          <cell r="I2">
            <v>0.8299704062415928</v>
          </cell>
        </row>
      </sheetData>
      <sheetData sheetId="6">
        <row r="2">
          <cell r="I2">
            <v>1.2847882454624016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75A7-628A-4FC7-80E8-6BEA0D5753D7}">
  <dimension ref="A1"/>
  <sheetViews>
    <sheetView tabSelected="1" workbookViewId="0">
      <selection activeCell="M18" sqref="M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B87C-1854-472F-B75D-6F27721A201A}">
  <dimension ref="A1:R52"/>
  <sheetViews>
    <sheetView workbookViewId="0">
      <selection activeCell="K30" sqref="K30"/>
    </sheetView>
  </sheetViews>
  <sheetFormatPr defaultRowHeight="15" x14ac:dyDescent="0.25"/>
  <cols>
    <col min="1" max="1" width="9.140625" style="1"/>
    <col min="2" max="2" width="11" style="1" bestFit="1" customWidth="1"/>
    <col min="3" max="3" width="9.5703125" style="1" bestFit="1" customWidth="1"/>
    <col min="4" max="4" width="12.5703125" style="1" customWidth="1"/>
    <col min="5" max="6" width="15.7109375" style="1" customWidth="1"/>
    <col min="7" max="10" width="9.140625" style="1"/>
    <col min="11" max="11" width="12" style="1" bestFit="1" customWidth="1"/>
    <col min="12" max="13" width="9.140625" style="1"/>
    <col min="14" max="14" width="11.140625" style="1" bestFit="1" customWidth="1"/>
    <col min="15" max="17" width="9.28515625" style="1" bestFit="1" customWidth="1"/>
    <col min="18" max="18" width="12.42578125" style="1" bestFit="1" customWidth="1"/>
    <col min="19" max="16384" width="9.140625" style="1"/>
  </cols>
  <sheetData>
    <row r="1" spans="1:18" ht="18.75" x14ac:dyDescent="0.25">
      <c r="A1" s="11" t="s">
        <v>27</v>
      </c>
      <c r="B1" s="11"/>
      <c r="C1" s="10" t="s">
        <v>26</v>
      </c>
      <c r="D1" s="2"/>
      <c r="E1" s="11" t="s">
        <v>28</v>
      </c>
      <c r="F1" s="11"/>
      <c r="G1" s="10" t="s">
        <v>26</v>
      </c>
      <c r="N1" s="9" t="s">
        <v>25</v>
      </c>
      <c r="O1" s="9" t="s">
        <v>24</v>
      </c>
      <c r="P1" s="9" t="s">
        <v>23</v>
      </c>
      <c r="Q1" s="9" t="s">
        <v>22</v>
      </c>
      <c r="R1" s="9" t="s">
        <v>21</v>
      </c>
    </row>
    <row r="2" spans="1:18" ht="15.75" x14ac:dyDescent="0.25">
      <c r="A2" s="6" t="s">
        <v>20</v>
      </c>
      <c r="B2" s="3">
        <v>2.3E-2</v>
      </c>
      <c r="C2" s="3" t="s">
        <v>17</v>
      </c>
      <c r="D2" s="2"/>
      <c r="E2" s="6" t="s">
        <v>19</v>
      </c>
      <c r="F2" s="7">
        <f>B4/(1-B8^2)</f>
        <v>3740065451.1453948</v>
      </c>
      <c r="G2" s="3" t="s">
        <v>11</v>
      </c>
      <c r="N2" s="2">
        <f>-B2</f>
        <v>-2.3E-2</v>
      </c>
      <c r="O2" s="2">
        <f t="shared" ref="O2:O33" si="0">N2/$B$3</f>
        <v>-1.2105263157894737</v>
      </c>
      <c r="P2" s="2">
        <f t="shared" ref="P2:P33" si="1">SQRT($F$7^2-4*O2^2)</f>
        <v>0</v>
      </c>
      <c r="Q2" s="2">
        <f>8/PI()^2*($F$6/2/SQRT($F$7)*P2-2*O2*LN(ABS((P2+2*O2*$F$9)/(P2-2*O2*$F$9)))+LN(ABS((P2+$F$9)/(P2-$F$9))))</f>
        <v>0</v>
      </c>
      <c r="R2" s="2">
        <f t="shared" ref="R2:R33" si="2">Q2*$F$8</f>
        <v>0</v>
      </c>
    </row>
    <row r="3" spans="1:18" ht="15.75" x14ac:dyDescent="0.25">
      <c r="A3" s="6" t="s">
        <v>18</v>
      </c>
      <c r="B3" s="3">
        <v>1.9E-2</v>
      </c>
      <c r="C3" s="3" t="s">
        <v>17</v>
      </c>
      <c r="D3" s="2"/>
      <c r="E3" s="6" t="s">
        <v>16</v>
      </c>
      <c r="F3" s="3">
        <f>0.3*12</f>
        <v>3.5999999999999996</v>
      </c>
      <c r="G3" s="3" t="s">
        <v>7</v>
      </c>
      <c r="N3" s="2">
        <f t="shared" ref="N3:N34" si="3">N2+2*$B$2/50</f>
        <v>-2.2079999999999999E-2</v>
      </c>
      <c r="O3" s="2">
        <f t="shared" si="0"/>
        <v>-1.1621052631578948</v>
      </c>
      <c r="P3" s="2">
        <f t="shared" si="1"/>
        <v>0.67789473684210544</v>
      </c>
      <c r="Q3" s="2">
        <f>8/PI()^2*($F$6/2/SQRT($F$7)*P3-2*O3*LN(ABS((P3+2*O3*$F$9)/(P3-2*O3*$F$9)))+LN(ABS((P3+$F$9)/(P3-$F$9))))</f>
        <v>0.55464944570885977</v>
      </c>
      <c r="R3" s="2">
        <f t="shared" si="2"/>
        <v>4.8686162470151513E-6</v>
      </c>
    </row>
    <row r="4" spans="1:18" ht="15.75" x14ac:dyDescent="0.25">
      <c r="A4" s="6" t="s">
        <v>15</v>
      </c>
      <c r="B4" s="7">
        <f>3.2*10^9</f>
        <v>3200000000</v>
      </c>
      <c r="C4" s="3" t="s">
        <v>11</v>
      </c>
      <c r="D4" s="2"/>
      <c r="E4" s="6" t="s">
        <v>14</v>
      </c>
      <c r="F4" s="8">
        <f>(2*B2-B3)/B7</f>
        <v>1.2857142857142856E-3</v>
      </c>
      <c r="G4" s="3" t="s">
        <v>13</v>
      </c>
      <c r="N4" s="2">
        <f t="shared" si="3"/>
        <v>-2.1159999999999998E-2</v>
      </c>
      <c r="O4" s="2">
        <f t="shared" si="0"/>
        <v>-1.1136842105263158</v>
      </c>
      <c r="P4" s="2">
        <f t="shared" si="1"/>
        <v>0.94885497404653596</v>
      </c>
      <c r="Q4" s="2">
        <f>8/PI()^2*($F$6/2/SQRT($F$7)*P4-2*O4*LN(ABS((P4+2*O4*$F$9)/(P4-2*O4*$F$9)))+LN(ABS((P4+$F$9)/(P4-$F$9))))</f>
        <v>0.79685278202706744</v>
      </c>
      <c r="R4" s="2">
        <f t="shared" si="2"/>
        <v>6.9946349555943179E-6</v>
      </c>
    </row>
    <row r="5" spans="1:18" ht="18.75" x14ac:dyDescent="0.25">
      <c r="A5" s="6" t="s">
        <v>12</v>
      </c>
      <c r="B5" s="7">
        <f>1.1*10^6</f>
        <v>1100000</v>
      </c>
      <c r="C5" s="3" t="s">
        <v>11</v>
      </c>
      <c r="D5" s="2"/>
      <c r="E5" s="6" t="s">
        <v>10</v>
      </c>
      <c r="F5" s="7">
        <f>0.21^(1/6)*F3^(1/3)*F2^(2/3)*F4^(1/3)*(2*B2)^(1/6)</f>
        <v>185309.62594348061</v>
      </c>
      <c r="G5" s="3" t="s">
        <v>9</v>
      </c>
      <c r="N5" s="2">
        <f t="shared" si="3"/>
        <v>-2.0239999999999998E-2</v>
      </c>
      <c r="O5" s="2">
        <f t="shared" si="0"/>
        <v>-1.0652631578947367</v>
      </c>
      <c r="P5" s="2">
        <f t="shared" si="1"/>
        <v>1.1499362863236724</v>
      </c>
      <c r="Q5" s="2">
        <f>8/PI()^2*($F$6/2/SQRT($F$7)*P5-2*O5*LN(ABS((P5+2*O5*$F$9)/(P5-2*O5*$F$9)))+LN(ABS((P5+$F$9)/(P5-$F$9))))</f>
        <v>0.99233497403699056</v>
      </c>
      <c r="R5" s="2">
        <f t="shared" si="2"/>
        <v>8.7105435955196832E-6</v>
      </c>
    </row>
    <row r="6" spans="1:18" ht="15.75" x14ac:dyDescent="0.25">
      <c r="A6" s="6" t="s">
        <v>8</v>
      </c>
      <c r="B6" s="3">
        <v>0.3</v>
      </c>
      <c r="C6" s="3" t="s">
        <v>7</v>
      </c>
      <c r="D6" s="2"/>
      <c r="E6" s="6" t="s">
        <v>1</v>
      </c>
      <c r="F6" s="4">
        <f>F5/B5*SQRT(2*PI()/B3)</f>
        <v>3.063503832354082</v>
      </c>
      <c r="G6" s="3"/>
      <c r="N6" s="2">
        <f t="shared" si="3"/>
        <v>-1.9319999999999997E-2</v>
      </c>
      <c r="O6" s="2">
        <f t="shared" si="0"/>
        <v>-1.0168421052631578</v>
      </c>
      <c r="P6" s="2">
        <f t="shared" si="1"/>
        <v>1.3136302283105785</v>
      </c>
      <c r="Q6" s="2">
        <f>8/PI()^2*($F$6/2/SQRT($F$7)*P6-2*O6*LN(ABS((P6+2*O6*$F$9)/(P6-2*O6*$F$9)))+LN(ABS((P6+$F$9)/(P6-$F$9))))</f>
        <v>1.1662671121612553</v>
      </c>
      <c r="R6" s="2">
        <f t="shared" si="2"/>
        <v>1.0237289615192758E-5</v>
      </c>
    </row>
    <row r="7" spans="1:18" ht="15.75" x14ac:dyDescent="0.25">
      <c r="A7" s="6" t="s">
        <v>5</v>
      </c>
      <c r="B7" s="3">
        <v>21</v>
      </c>
      <c r="C7" s="3" t="s">
        <v>4</v>
      </c>
      <c r="D7" s="2"/>
      <c r="E7" s="6" t="s">
        <v>6</v>
      </c>
      <c r="F7" s="4">
        <f>2*B2/B3</f>
        <v>2.4210526315789473</v>
      </c>
      <c r="G7" s="3"/>
      <c r="N7" s="2">
        <f t="shared" si="3"/>
        <v>-1.8399999999999996E-2</v>
      </c>
      <c r="O7" s="2">
        <f t="shared" si="0"/>
        <v>-0.96842105263157874</v>
      </c>
      <c r="P7" s="2">
        <f t="shared" si="1"/>
        <v>1.4526315789473689</v>
      </c>
      <c r="Q7" s="2">
        <f>8/PI()^2*($F$6/2/SQRT($F$7)*P7-2*O7*LN(ABS((P7+2*O7*$F$9)/(P7-2*O7*$F$9)))+LN(ABS((P7+$F$9)/(P7-$F$9))))</f>
        <v>1.3286619401445379</v>
      </c>
      <c r="R7" s="2">
        <f t="shared" si="2"/>
        <v>1.1662763135571345E-5</v>
      </c>
    </row>
    <row r="8" spans="1:18" ht="15.75" x14ac:dyDescent="0.25">
      <c r="A8" s="6" t="s">
        <v>2</v>
      </c>
      <c r="B8" s="3">
        <v>0.38</v>
      </c>
      <c r="C8" s="3"/>
      <c r="D8" s="2"/>
      <c r="E8" s="6" t="s">
        <v>3</v>
      </c>
      <c r="F8" s="7">
        <f>PI()*B3*B5/2/F2</f>
        <v>8.7778258586248177E-6</v>
      </c>
      <c r="G8" s="3"/>
      <c r="N8" s="2">
        <f t="shared" si="3"/>
        <v>-1.7479999999999996E-2</v>
      </c>
      <c r="O8" s="2">
        <f t="shared" si="0"/>
        <v>-0.91999999999999982</v>
      </c>
      <c r="P8" s="2">
        <f t="shared" si="1"/>
        <v>1.5734979646873863</v>
      </c>
      <c r="Q8" s="2">
        <f>8/PI()^2*($F$6/2/SQRT($F$7)*P8-2*O8*LN(ABS((P8+2*O8*$F$9)/(P8-2*O8*$F$9)))+LN(ABS((P8+$F$9)/(P8-$F$9))))</f>
        <v>1.4849975588636908</v>
      </c>
      <c r="R8" s="2">
        <f t="shared" si="2"/>
        <v>1.3035049972188435E-5</v>
      </c>
    </row>
    <row r="9" spans="1:18" ht="18.75" x14ac:dyDescent="0.25">
      <c r="A9" s="2"/>
      <c r="B9" s="2"/>
      <c r="C9" s="2"/>
      <c r="D9" s="2"/>
      <c r="E9" s="5" t="s">
        <v>0</v>
      </c>
      <c r="F9" s="4">
        <f>SQRT(F7^2-1)</f>
        <v>2.2048800069108854</v>
      </c>
      <c r="G9" s="3"/>
      <c r="N9" s="2">
        <f t="shared" si="3"/>
        <v>-1.6559999999999995E-2</v>
      </c>
      <c r="O9" s="2">
        <f t="shared" si="0"/>
        <v>-0.87157894736842079</v>
      </c>
      <c r="P9" s="2">
        <f t="shared" si="1"/>
        <v>1.6801477312700714</v>
      </c>
      <c r="Q9" s="2">
        <f>8/PI()^2*($F$6/2/SQRT($F$7)*P9-2*O9*LN(ABS((P9+2*O9*$F$9)/(P9-2*O9*$F$9)))+LN(ABS((P9+$F$9)/(P9-$F$9))))</f>
        <v>1.6389452878405442</v>
      </c>
      <c r="R9" s="2">
        <f t="shared" si="2"/>
        <v>1.4386376328478023E-5</v>
      </c>
    </row>
    <row r="10" spans="1:18" x14ac:dyDescent="0.25">
      <c r="N10" s="2">
        <f t="shared" si="3"/>
        <v>-1.5639999999999994E-2</v>
      </c>
      <c r="O10" s="2">
        <f t="shared" si="0"/>
        <v>-0.82315789473684187</v>
      </c>
      <c r="P10" s="2">
        <f t="shared" si="1"/>
        <v>1.77514511130921</v>
      </c>
      <c r="Q10" s="2">
        <f>8/PI()^2*($F$6/2/SQRT($F$7)*P10-2*O10*LN(ABS((P10+2*O10*$F$9)/(P10-2*O10*$F$9)))+LN(ABS((P10+$F$9)/(P10-$F$9))))</f>
        <v>1.7934148474648155</v>
      </c>
      <c r="R10" s="2">
        <f t="shared" si="2"/>
        <v>1.5742283223318339E-5</v>
      </c>
    </row>
    <row r="11" spans="1:18" x14ac:dyDescent="0.25">
      <c r="N11" s="2">
        <f t="shared" si="3"/>
        <v>-1.4719999999999994E-2</v>
      </c>
      <c r="O11" s="2">
        <f t="shared" si="0"/>
        <v>-0.77473684210526284</v>
      </c>
      <c r="P11" s="2">
        <f t="shared" si="1"/>
        <v>1.8602760942436491</v>
      </c>
      <c r="Q11" s="2">
        <f>8/PI()^2*($F$6/2/SQRT($F$7)*P11-2*O11*LN(ABS((P11+2*O11*$F$9)/(P11-2*O11*$F$9)))+LN(ABS((P11+$F$9)/(P11-$F$9))))</f>
        <v>1.9510993549375966</v>
      </c>
      <c r="R11" s="2">
        <f t="shared" si="2"/>
        <v>1.7126410370517436E-5</v>
      </c>
    </row>
    <row r="12" spans="1:18" x14ac:dyDescent="0.25">
      <c r="N12" s="2">
        <f t="shared" si="3"/>
        <v>-1.3799999999999993E-2</v>
      </c>
      <c r="O12" s="2">
        <f t="shared" si="0"/>
        <v>-0.7263157894736838</v>
      </c>
      <c r="P12" s="2">
        <f t="shared" si="1"/>
        <v>1.9368421052631586</v>
      </c>
      <c r="Q12" s="2">
        <f>8/PI()^2*($F$6/2/SQRT($F$7)*P12-2*O12*LN(ABS((P12+2*O12*$F$9)/(P12-2*O12*$F$9)))+LN(ABS((P12+$F$9)/(P12-$F$9))))</f>
        <v>2.1148869095432512</v>
      </c>
      <c r="R12" s="2">
        <f t="shared" si="2"/>
        <v>1.8564109002655877E-5</v>
      </c>
    </row>
    <row r="13" spans="1:18" x14ac:dyDescent="0.25">
      <c r="N13" s="2">
        <f t="shared" si="3"/>
        <v>-1.2879999999999992E-2</v>
      </c>
      <c r="O13" s="2">
        <f t="shared" si="0"/>
        <v>-0.67789473684210488</v>
      </c>
      <c r="P13" s="2">
        <f t="shared" si="1"/>
        <v>2.0058242066348786</v>
      </c>
      <c r="Q13" s="2">
        <f>8/PI()^2*($F$6/2/SQRT($F$7)*P13-2*O13*LN(ABS((P13+2*O13*$F$9)/(P13-2*O13*$F$9)))+LN(ABS((P13+$F$9)/(P13-$F$9))))</f>
        <v>2.2883448430072719</v>
      </c>
      <c r="R13" s="2">
        <f t="shared" si="2"/>
        <v>2.0086692536399982E-5</v>
      </c>
    </row>
    <row r="14" spans="1:18" x14ac:dyDescent="0.25">
      <c r="N14" s="2">
        <f t="shared" si="3"/>
        <v>-1.1959999999999991E-2</v>
      </c>
      <c r="O14" s="2">
        <f t="shared" si="0"/>
        <v>-0.62947368421052585</v>
      </c>
      <c r="P14" s="2">
        <f t="shared" si="1"/>
        <v>2.0679814719723808</v>
      </c>
      <c r="Q14" s="2">
        <f>8/PI()^2*($F$6/2/SQRT($F$7)*P14-2*O14*LN(ABS((P14+2*O14*$F$9)/(P14-2*O14*$F$9)))+LN(ABS((P14+$F$9)/(P14-$F$9))))</f>
        <v>2.4765686063149306</v>
      </c>
      <c r="R14" s="2">
        <f t="shared" si="2"/>
        <v>2.1738887953169625E-5</v>
      </c>
    </row>
    <row r="15" spans="1:18" x14ac:dyDescent="0.25">
      <c r="N15" s="2">
        <f t="shared" si="3"/>
        <v>-1.1039999999999991E-2</v>
      </c>
      <c r="O15" s="2">
        <f t="shared" si="0"/>
        <v>-0.58105263157894693</v>
      </c>
      <c r="P15" s="2">
        <f t="shared" si="1"/>
        <v>2.1239131814215169</v>
      </c>
      <c r="Q15" s="2">
        <f>8/PI()^2*($F$6/2/SQRT($F$7)*P15-2*O15*LN(ABS((P15+2*O15*$F$9)/(P15-2*O15*$F$9)))+LN(ABS((P15+$F$9)/(P15-$F$9))))</f>
        <v>2.6882625374202052</v>
      </c>
      <c r="R15" s="2">
        <f t="shared" si="2"/>
        <v>2.3597100415739442E-5</v>
      </c>
    </row>
    <row r="16" spans="1:18" x14ac:dyDescent="0.25">
      <c r="N16" s="2">
        <f t="shared" si="3"/>
        <v>-1.011999999999999E-2</v>
      </c>
      <c r="O16" s="2">
        <f t="shared" si="0"/>
        <v>-0.5326315789473679</v>
      </c>
      <c r="P16" s="2">
        <f t="shared" si="1"/>
        <v>2.1740998710518067</v>
      </c>
      <c r="Q16" s="2">
        <f>8/PI()^2*($F$6/2/SQRT($F$7)*P16-2*O16*LN(ABS((P16+2*O16*$F$9)/(P16-2*O16*$F$9)))+LN(ABS((P16+$F$9)/(P16-$F$9))))</f>
        <v>2.9436902493289829</v>
      </c>
      <c r="R16" s="2">
        <f t="shared" si="2"/>
        <v>2.5839200390341684E-5</v>
      </c>
    </row>
    <row r="17" spans="14:18" x14ac:dyDescent="0.25">
      <c r="N17" s="2">
        <f t="shared" si="3"/>
        <v>-9.1999999999999894E-3</v>
      </c>
      <c r="O17" s="2">
        <f t="shared" si="0"/>
        <v>-0.48421052631578893</v>
      </c>
      <c r="P17" s="2">
        <f t="shared" si="1"/>
        <v>2.2189313891365128</v>
      </c>
      <c r="Q17" s="2">
        <f>8/PI()^2*($F$6/2/SQRT($F$7)*P17-2*O17*LN(ABS((P17+2*O17*$F$9)/(P17-2*O17*$F$9)))+LN(ABS((P17+$F$9)/(P17-$F$9))))</f>
        <v>3.3308899830175385</v>
      </c>
      <c r="R17" s="2">
        <f t="shared" si="2"/>
        <v>2.9237972225165729E-5</v>
      </c>
    </row>
    <row r="18" spans="14:18" x14ac:dyDescent="0.25">
      <c r="N18" s="2">
        <f t="shared" si="3"/>
        <v>-8.2799999999999888E-3</v>
      </c>
      <c r="O18" s="2">
        <f t="shared" si="0"/>
        <v>-0.43578947368420995</v>
      </c>
      <c r="P18" s="2">
        <f t="shared" si="1"/>
        <v>2.2587266287400745</v>
      </c>
      <c r="Q18" s="2">
        <f>8/PI()^2*($F$6/2/SQRT($F$7)*P18-2*O18*LN(ABS((P18+2*O18*$F$9)/(P18-2*O18*$F$9)))+LN(ABS((P18+$F$9)/(P18-$F$9))))</f>
        <v>3.6041335211147785</v>
      </c>
      <c r="R18" s="2">
        <f t="shared" si="2"/>
        <v>3.1636456419577819E-5</v>
      </c>
    </row>
    <row r="19" spans="14:18" x14ac:dyDescent="0.25">
      <c r="N19" s="2">
        <f t="shared" si="3"/>
        <v>-7.3599999999999889E-3</v>
      </c>
      <c r="O19" s="2">
        <f t="shared" si="0"/>
        <v>-0.38736842105263103</v>
      </c>
      <c r="P19" s="2">
        <f t="shared" si="1"/>
        <v>2.2937477346822845</v>
      </c>
      <c r="Q19" s="2">
        <f>8/PI()^2*($F$6/2/SQRT($F$7)*P19-2*O19*LN(ABS((P19+2*O19*$F$9)/(P19-2*O19*$F$9)))+LN(ABS((P19+$F$9)/(P19-$F$9))))</f>
        <v>3.804312319343079</v>
      </c>
      <c r="R19" s="2">
        <f t="shared" si="2"/>
        <v>3.3393591051014633E-5</v>
      </c>
    </row>
    <row r="20" spans="14:18" x14ac:dyDescent="0.25">
      <c r="N20" s="2">
        <f t="shared" si="3"/>
        <v>-6.4399999999999891E-3</v>
      </c>
      <c r="O20" s="2">
        <f t="shared" si="0"/>
        <v>-0.33894736842105205</v>
      </c>
      <c r="P20" s="2">
        <f t="shared" si="1"/>
        <v>2.3242105263157899</v>
      </c>
      <c r="Q20" s="2">
        <f>8/PI()^2*($F$6/2/SQRT($F$7)*P20-2*O20*LN(ABS((P20+2*O20*$F$9)/(P20-2*O20*$F$9)))+LN(ABS((P20+$F$9)/(P20-$F$9))))</f>
        <v>3.9631707340404803</v>
      </c>
      <c r="R20" s="2">
        <f t="shared" si="2"/>
        <v>3.4788022551405628E-5</v>
      </c>
    </row>
    <row r="21" spans="14:18" x14ac:dyDescent="0.25">
      <c r="N21" s="2">
        <f t="shared" si="3"/>
        <v>-5.5199999999999893E-3</v>
      </c>
      <c r="O21" s="2">
        <f t="shared" si="0"/>
        <v>-0.29052631578947313</v>
      </c>
      <c r="P21" s="2">
        <f t="shared" si="1"/>
        <v>2.350292255063299</v>
      </c>
      <c r="Q21" s="2">
        <f>8/PI()^2*($F$6/2/SQRT($F$7)*P21-2*O21*LN(ABS((P21+2*O21*$F$9)/(P21-2*O21*$F$9)))+LN(ABS((P21+$F$9)/(P21-$F$9))))</f>
        <v>4.0914753461038647</v>
      </c>
      <c r="R21" s="2">
        <f t="shared" si="2"/>
        <v>3.5914258092956426E-5</v>
      </c>
    </row>
    <row r="22" spans="14:18" x14ac:dyDescent="0.25">
      <c r="N22" s="2">
        <f t="shared" si="3"/>
        <v>-4.5999999999999895E-3</v>
      </c>
      <c r="O22" s="2">
        <f t="shared" si="0"/>
        <v>-0.24210526315789418</v>
      </c>
      <c r="P22" s="2">
        <f t="shared" si="1"/>
        <v>2.3721374351163411</v>
      </c>
      <c r="Q22" s="2">
        <f>8/PI()^2*($F$6/2/SQRT($F$7)*P22-2*O22*LN(ABS((P22+2*O22*$F$9)/(P22-2*O22*$F$9)))+LN(ABS((P22+$F$9)/(P22-$F$9))))</f>
        <v>4.1946985352222832</v>
      </c>
      <c r="R22" s="2">
        <f t="shared" si="2"/>
        <v>3.6820333271609802E-5</v>
      </c>
    </row>
    <row r="23" spans="14:18" x14ac:dyDescent="0.25">
      <c r="N23" s="2">
        <f t="shared" si="3"/>
        <v>-3.6799999999999897E-3</v>
      </c>
      <c r="O23" s="2">
        <f t="shared" si="0"/>
        <v>-0.19368421052631526</v>
      </c>
      <c r="P23" s="2">
        <f t="shared" si="1"/>
        <v>2.3898622452448044</v>
      </c>
      <c r="Q23" s="2">
        <f>8/PI()^2*($F$6/2/SQRT($F$7)*P23-2*O23*LN(ABS((P23+2*O23*$F$9)/(P23-2*O23*$F$9)))+LN(ABS((P23+$F$9)/(P23-$F$9))))</f>
        <v>4.2760829783080228</v>
      </c>
      <c r="R23" s="2">
        <f t="shared" si="2"/>
        <v>3.7534711740617584E-5</v>
      </c>
    </row>
    <row r="24" spans="14:18" x14ac:dyDescent="0.25">
      <c r="N24" s="2">
        <f t="shared" si="3"/>
        <v>-2.7599999999999899E-3</v>
      </c>
      <c r="O24" s="2">
        <f t="shared" si="0"/>
        <v>-0.14526315789473632</v>
      </c>
      <c r="P24" s="2">
        <f t="shared" si="1"/>
        <v>2.4035578430129658</v>
      </c>
      <c r="Q24" s="2">
        <f>8/PI()^2*($F$6/2/SQRT($F$7)*P24-2*O24*LN(ABS((P24+2*O24*$F$9)/(P24-2*O24*$F$9)))+LN(ABS((P24+$F$9)/(P24-$F$9))))</f>
        <v>4.3376927054328442</v>
      </c>
      <c r="R24" s="2">
        <f t="shared" si="2"/>
        <v>3.8075511196516667E-5</v>
      </c>
    </row>
    <row r="25" spans="14:18" x14ac:dyDescent="0.25">
      <c r="N25" s="2">
        <f t="shared" si="3"/>
        <v>-1.8399999999999899E-3</v>
      </c>
      <c r="O25" s="2">
        <f t="shared" si="0"/>
        <v>-9.6842105263157369E-2</v>
      </c>
      <c r="P25" s="2">
        <f t="shared" si="1"/>
        <v>2.4132928275425147</v>
      </c>
      <c r="Q25" s="2">
        <f>8/PI()^2*($F$6/2/SQRT($F$7)*P25-2*O25*LN(ABS((P25+2*O25*$F$9)/(P25-2*O25*$F$9)))+LN(ABS((P25+$F$9)/(P25-$F$9))))</f>
        <v>4.3808706219173077</v>
      </c>
      <c r="R25" s="2">
        <f t="shared" si="2"/>
        <v>3.8454519428355533E-5</v>
      </c>
    </row>
    <row r="26" spans="14:18" x14ac:dyDescent="0.25">
      <c r="N26" s="2">
        <f t="shared" si="3"/>
        <v>-9.1999999999998984E-4</v>
      </c>
      <c r="O26" s="2">
        <f t="shared" si="0"/>
        <v>-4.8421052631578414E-2</v>
      </c>
      <c r="P26" s="2">
        <f t="shared" si="1"/>
        <v>2.4191150141164321</v>
      </c>
      <c r="Q26" s="2">
        <f>8/PI()^2*($F$6/2/SQRT($F$7)*P26-2*O26*LN(ABS((P26+2*O26*$F$9)/(P26-2*O26*$F$9)))+LN(ABS((P26+$F$9)/(P26-$F$9))))</f>
        <v>4.4064647147559688</v>
      </c>
      <c r="R26" s="2">
        <f t="shared" si="2"/>
        <v>3.8679179918302777E-5</v>
      </c>
    </row>
    <row r="27" spans="14:18" x14ac:dyDescent="0.25">
      <c r="N27" s="2">
        <f t="shared" si="3"/>
        <v>1.0191500421363742E-17</v>
      </c>
      <c r="O27" s="2">
        <f t="shared" si="0"/>
        <v>5.3639475901914431E-16</v>
      </c>
      <c r="P27" s="2">
        <f t="shared" si="1"/>
        <v>2.4210526315789473</v>
      </c>
      <c r="Q27" s="2">
        <f>8/PI()^2*($F$6/2/SQRT($F$7)*P27-2*O27*LN(ABS((P27+2*O27*$F$9)/(P27-2*O27*$F$9)))+LN(ABS((P27+$F$9)/(P27-$F$9))))</f>
        <v>4.4149457097982721</v>
      </c>
      <c r="R27" s="2">
        <f t="shared" si="2"/>
        <v>3.8753624615891974E-5</v>
      </c>
    </row>
    <row r="28" spans="14:18" x14ac:dyDescent="0.25">
      <c r="N28" s="2">
        <f t="shared" si="3"/>
        <v>9.2000000000001022E-4</v>
      </c>
      <c r="O28" s="2">
        <f t="shared" si="0"/>
        <v>4.8421052631579489E-2</v>
      </c>
      <c r="P28" s="2">
        <f t="shared" si="1"/>
        <v>2.4191150141164321</v>
      </c>
      <c r="Q28" s="2">
        <f>8/PI()^2*($F$6/2/SQRT($F$7)*P28-2*O28*LN(ABS((P28+2*O28*$F$9)/(P28-2*O28*$F$9)))+LN(ABS((P28+$F$9)/(P28-$F$9))))</f>
        <v>4.4064647147559688</v>
      </c>
      <c r="R28" s="2">
        <f t="shared" si="2"/>
        <v>3.8679179918302777E-5</v>
      </c>
    </row>
    <row r="29" spans="14:18" x14ac:dyDescent="0.25">
      <c r="N29" s="2">
        <f t="shared" si="3"/>
        <v>1.8400000000000102E-3</v>
      </c>
      <c r="O29" s="2">
        <f t="shared" si="0"/>
        <v>9.6842105263158437E-2</v>
      </c>
      <c r="P29" s="2">
        <f t="shared" si="1"/>
        <v>2.4132928275425143</v>
      </c>
      <c r="Q29" s="2">
        <f>8/PI()^2*($F$6/2/SQRT($F$7)*P29-2*O29*LN(ABS((P29+2*O29*$F$9)/(P29-2*O29*$F$9)))+LN(ABS((P29+$F$9)/(P29-$F$9))))</f>
        <v>4.3808706219173077</v>
      </c>
      <c r="R29" s="2">
        <f t="shared" si="2"/>
        <v>3.8454519428355533E-5</v>
      </c>
    </row>
    <row r="30" spans="14:18" x14ac:dyDescent="0.25">
      <c r="N30" s="2">
        <f t="shared" si="3"/>
        <v>2.7600000000000103E-3</v>
      </c>
      <c r="O30" s="2">
        <f t="shared" si="0"/>
        <v>0.1452631578947374</v>
      </c>
      <c r="P30" s="2">
        <f t="shared" si="1"/>
        <v>2.4035578430129658</v>
      </c>
      <c r="Q30" s="2">
        <f>8/PI()^2*($F$6/2/SQRT($F$7)*P30-2*O30*LN(ABS((P30+2*O30*$F$9)/(P30-2*O30*$F$9)))+LN(ABS((P30+$F$9)/(P30-$F$9))))</f>
        <v>4.3376927054328434</v>
      </c>
      <c r="R30" s="2">
        <f t="shared" si="2"/>
        <v>3.807551119651666E-5</v>
      </c>
    </row>
    <row r="31" spans="14:18" x14ac:dyDescent="0.25">
      <c r="N31" s="2">
        <f t="shared" si="3"/>
        <v>3.6800000000000105E-3</v>
      </c>
      <c r="O31" s="2">
        <f t="shared" si="0"/>
        <v>0.19368421052631635</v>
      </c>
      <c r="P31" s="2">
        <f t="shared" si="1"/>
        <v>2.389862245244804</v>
      </c>
      <c r="Q31" s="2">
        <f>8/PI()^2*($F$6/2/SQRT($F$7)*P31-2*O31*LN(ABS((P31+2*O31*$F$9)/(P31-2*O31*$F$9)))+LN(ABS((P31+$F$9)/(P31-$F$9))))</f>
        <v>4.2760829783080219</v>
      </c>
      <c r="R31" s="2">
        <f t="shared" si="2"/>
        <v>3.7534711740617577E-5</v>
      </c>
    </row>
    <row r="32" spans="14:18" x14ac:dyDescent="0.25">
      <c r="N32" s="2">
        <f t="shared" si="3"/>
        <v>4.6000000000000103E-3</v>
      </c>
      <c r="O32" s="2">
        <f t="shared" si="0"/>
        <v>0.2421052631578953</v>
      </c>
      <c r="P32" s="2">
        <f t="shared" si="1"/>
        <v>2.3721374351163407</v>
      </c>
      <c r="Q32" s="2">
        <f>8/PI()^2*($F$6/2/SQRT($F$7)*P32-2*O32*LN(ABS((P32+2*O32*$F$9)/(P32-2*O32*$F$9)))+LN(ABS((P32+$F$9)/(P32-$F$9))))</f>
        <v>4.1946985352222805</v>
      </c>
      <c r="R32" s="2">
        <f t="shared" si="2"/>
        <v>3.6820333271609782E-5</v>
      </c>
    </row>
    <row r="33" spans="14:18" x14ac:dyDescent="0.25">
      <c r="N33" s="2">
        <f t="shared" si="3"/>
        <v>5.5200000000000101E-3</v>
      </c>
      <c r="O33" s="2">
        <f t="shared" si="0"/>
        <v>0.29052631578947424</v>
      </c>
      <c r="P33" s="2">
        <f t="shared" si="1"/>
        <v>2.3502922550632985</v>
      </c>
      <c r="Q33" s="2">
        <f>8/PI()^2*($F$6/2/SQRT($F$7)*P33-2*O33*LN(ABS((P33+2*O33*$F$9)/(P33-2*O33*$F$9)))+LN(ABS((P33+$F$9)/(P33-$F$9))))</f>
        <v>4.091475346103862</v>
      </c>
      <c r="R33" s="2">
        <f t="shared" si="2"/>
        <v>3.5914258092956405E-5</v>
      </c>
    </row>
    <row r="34" spans="14:18" x14ac:dyDescent="0.25">
      <c r="N34" s="2">
        <f t="shared" si="3"/>
        <v>6.44000000000001E-3</v>
      </c>
      <c r="O34" s="2">
        <f t="shared" ref="O34:O52" si="4">N34/$B$3</f>
        <v>0.33894736842105316</v>
      </c>
      <c r="P34" s="2">
        <f t="shared" ref="P34:P52" si="5">SQRT($F$7^2-4*O34^2)</f>
        <v>2.3242105263157891</v>
      </c>
      <c r="Q34" s="2">
        <f>8/PI()^2*($F$6/2/SQRT($F$7)*P34-2*O34*LN(ABS((P34+2*O34*$F$9)/(P34-2*O34*$F$9)))+LN(ABS((P34+$F$9)/(P34-$F$9))))</f>
        <v>3.9631707340404785</v>
      </c>
      <c r="R34" s="2">
        <f t="shared" ref="R34:R52" si="6">Q34*$F$8</f>
        <v>3.4788022551405614E-5</v>
      </c>
    </row>
    <row r="35" spans="14:18" x14ac:dyDescent="0.25">
      <c r="N35" s="2">
        <f t="shared" ref="N35:N51" si="7">N34+2*$B$2/50</f>
        <v>7.3600000000000098E-3</v>
      </c>
      <c r="O35" s="2">
        <f t="shared" si="4"/>
        <v>0.38736842105263208</v>
      </c>
      <c r="P35" s="2">
        <f t="shared" si="5"/>
        <v>2.2937477346822841</v>
      </c>
      <c r="Q35" s="2">
        <f>8/PI()^2*($F$6/2/SQRT($F$7)*P35-2*O35*LN(ABS((P35+2*O35*$F$9)/(P35-2*O35*$F$9)))+LN(ABS((P35+$F$9)/(P35-$F$9))))</f>
        <v>3.8043123193430732</v>
      </c>
      <c r="R35" s="2">
        <f t="shared" si="6"/>
        <v>3.3393591051014586E-5</v>
      </c>
    </row>
    <row r="36" spans="14:18" x14ac:dyDescent="0.25">
      <c r="N36" s="2">
        <f t="shared" si="7"/>
        <v>8.2800000000000096E-3</v>
      </c>
      <c r="O36" s="2">
        <f t="shared" si="4"/>
        <v>0.43578947368421106</v>
      </c>
      <c r="P36" s="2">
        <f t="shared" si="5"/>
        <v>2.258726628740074</v>
      </c>
      <c r="Q36" s="2">
        <f>8/PI()^2*($F$6/2/SQRT($F$7)*P36-2*O36*LN(ABS((P36+2*O36*$F$9)/(P36-2*O36*$F$9)))+LN(ABS((P36+$F$9)/(P36-$F$9))))</f>
        <v>3.6041335211147683</v>
      </c>
      <c r="R36" s="2">
        <f t="shared" si="6"/>
        <v>3.163645641957773E-5</v>
      </c>
    </row>
    <row r="37" spans="14:18" x14ac:dyDescent="0.25">
      <c r="N37" s="2">
        <f t="shared" si="7"/>
        <v>9.2000000000000103E-3</v>
      </c>
      <c r="O37" s="2">
        <f t="shared" si="4"/>
        <v>0.48421052631579004</v>
      </c>
      <c r="P37" s="2">
        <f t="shared" si="5"/>
        <v>2.2189313891365114</v>
      </c>
      <c r="Q37" s="2">
        <f>8/PI()^2*($F$6/2/SQRT($F$7)*P37-2*O37*LN(ABS((P37+2*O37*$F$9)/(P37-2*O37*$F$9)))+LN(ABS((P37+$F$9)/(P37-$F$9))))</f>
        <v>3.3308899830175478</v>
      </c>
      <c r="R37" s="2">
        <f t="shared" si="6"/>
        <v>2.923797222516581E-5</v>
      </c>
    </row>
    <row r="38" spans="14:18" x14ac:dyDescent="0.25">
      <c r="N38" s="2">
        <f t="shared" si="7"/>
        <v>1.0120000000000011E-2</v>
      </c>
      <c r="O38" s="2">
        <f t="shared" si="4"/>
        <v>0.53263157894736901</v>
      </c>
      <c r="P38" s="2">
        <f t="shared" si="5"/>
        <v>2.1740998710518054</v>
      </c>
      <c r="Q38" s="2">
        <f>8/PI()^2*($F$6/2/SQRT($F$7)*P38-2*O38*LN(ABS((P38+2*O38*$F$9)/(P38-2*O38*$F$9)))+LN(ABS((P38+$F$9)/(P38-$F$9))))</f>
        <v>2.9436902493289705</v>
      </c>
      <c r="R38" s="2">
        <f t="shared" si="6"/>
        <v>2.5839200390341573E-5</v>
      </c>
    </row>
    <row r="39" spans="14:18" x14ac:dyDescent="0.25">
      <c r="N39" s="2">
        <f t="shared" si="7"/>
        <v>1.1040000000000012E-2</v>
      </c>
      <c r="O39" s="2">
        <f t="shared" si="4"/>
        <v>0.58105263157894804</v>
      </c>
      <c r="P39" s="2">
        <f t="shared" si="5"/>
        <v>2.1239131814215155</v>
      </c>
      <c r="Q39" s="2">
        <f>8/PI()^2*($F$6/2/SQRT($F$7)*P39-2*O39*LN(ABS((P39+2*O39*$F$9)/(P39-2*O39*$F$9)))+LN(ABS((P39+$F$9)/(P39-$F$9))))</f>
        <v>2.6882625374201989</v>
      </c>
      <c r="R39" s="2">
        <f t="shared" si="6"/>
        <v>2.3597100415739388E-5</v>
      </c>
    </row>
    <row r="40" spans="14:18" x14ac:dyDescent="0.25">
      <c r="N40" s="2">
        <f t="shared" si="7"/>
        <v>1.1960000000000012E-2</v>
      </c>
      <c r="O40" s="2">
        <f t="shared" si="4"/>
        <v>0.62947368421052696</v>
      </c>
      <c r="P40" s="2">
        <f t="shared" si="5"/>
        <v>2.0679814719723795</v>
      </c>
      <c r="Q40" s="2">
        <f>8/PI()^2*($F$6/2/SQRT($F$7)*P40-2*O40*LN(ABS((P40+2*O40*$F$9)/(P40-2*O40*$F$9)))+LN(ABS((P40+$F$9)/(P40-$F$9))))</f>
        <v>2.4765686063149261</v>
      </c>
      <c r="R40" s="2">
        <f t="shared" si="6"/>
        <v>2.1738887953169585E-5</v>
      </c>
    </row>
    <row r="41" spans="14:18" x14ac:dyDescent="0.25">
      <c r="N41" s="2">
        <f t="shared" si="7"/>
        <v>1.2880000000000013E-2</v>
      </c>
      <c r="O41" s="2">
        <f t="shared" si="4"/>
        <v>0.67789473684210599</v>
      </c>
      <c r="P41" s="2">
        <f t="shared" si="5"/>
        <v>2.0058242066348768</v>
      </c>
      <c r="Q41" s="2">
        <f>8/PI()^2*($F$6/2/SQRT($F$7)*P41-2*O41*LN(ABS((P41+2*O41*$F$9)/(P41-2*O41*$F$9)))+LN(ABS((P41+$F$9)/(P41-$F$9))))</f>
        <v>2.288344843007267</v>
      </c>
      <c r="R41" s="2">
        <f t="shared" si="6"/>
        <v>2.0086692536399938E-5</v>
      </c>
    </row>
    <row r="42" spans="14:18" x14ac:dyDescent="0.25">
      <c r="N42" s="2">
        <f t="shared" si="7"/>
        <v>1.3800000000000014E-2</v>
      </c>
      <c r="O42" s="2">
        <f t="shared" si="4"/>
        <v>0.72631578947368491</v>
      </c>
      <c r="P42" s="2">
        <f t="shared" si="5"/>
        <v>1.9368421052631568</v>
      </c>
      <c r="Q42" s="2">
        <f>8/PI()^2*($F$6/2/SQRT($F$7)*P42-2*O42*LN(ABS((P42+2*O42*$F$9)/(P42-2*O42*$F$9)))+LN(ABS((P42+$F$9)/(P42-$F$9))))</f>
        <v>2.1148869095432468</v>
      </c>
      <c r="R42" s="2">
        <f t="shared" si="6"/>
        <v>1.8564109002655837E-5</v>
      </c>
    </row>
    <row r="43" spans="14:18" x14ac:dyDescent="0.25">
      <c r="N43" s="2">
        <f t="shared" si="7"/>
        <v>1.4720000000000014E-2</v>
      </c>
      <c r="O43" s="2">
        <f t="shared" si="4"/>
        <v>0.77473684210526395</v>
      </c>
      <c r="P43" s="2">
        <f t="shared" si="5"/>
        <v>1.8602760942436474</v>
      </c>
      <c r="Q43" s="2">
        <f>8/PI()^2*($F$6/2/SQRT($F$7)*P43-2*O43*LN(ABS((P43+2*O43*$F$9)/(P43-2*O43*$F$9)))+LN(ABS((P43+$F$9)/(P43-$F$9))))</f>
        <v>1.9510993549375932</v>
      </c>
      <c r="R43" s="2">
        <f t="shared" si="6"/>
        <v>1.7126410370517409E-5</v>
      </c>
    </row>
    <row r="44" spans="14:18" x14ac:dyDescent="0.25">
      <c r="N44" s="2">
        <f t="shared" si="7"/>
        <v>1.5640000000000015E-2</v>
      </c>
      <c r="O44" s="2">
        <f t="shared" si="4"/>
        <v>0.82315789473684287</v>
      </c>
      <c r="P44" s="2">
        <f t="shared" si="5"/>
        <v>1.7751451113092083</v>
      </c>
      <c r="Q44" s="2">
        <f>8/PI()^2*($F$6/2/SQRT($F$7)*P44-2*O44*LN(ABS((P44+2*O44*$F$9)/(P44-2*O44*$F$9)))+LN(ABS((P44+$F$9)/(P44-$F$9))))</f>
        <v>1.7934148474648126</v>
      </c>
      <c r="R44" s="2">
        <f t="shared" si="6"/>
        <v>1.5742283223318316E-5</v>
      </c>
    </row>
    <row r="45" spans="14:18" x14ac:dyDescent="0.25">
      <c r="N45" s="2">
        <f t="shared" si="7"/>
        <v>1.6560000000000016E-2</v>
      </c>
      <c r="O45" s="2">
        <f t="shared" si="4"/>
        <v>0.8715789473684219</v>
      </c>
      <c r="P45" s="2">
        <f t="shared" si="5"/>
        <v>1.6801477312700692</v>
      </c>
      <c r="Q45" s="2">
        <f>8/PI()^2*($F$6/2/SQRT($F$7)*P45-2*O45*LN(ABS((P45+2*O45*$F$9)/(P45-2*O45*$F$9)))+LN(ABS((P45+$F$9)/(P45-$F$9))))</f>
        <v>1.6389452878405406</v>
      </c>
      <c r="R45" s="2">
        <f t="shared" si="6"/>
        <v>1.4386376328477992E-5</v>
      </c>
    </row>
    <row r="46" spans="14:18" x14ac:dyDescent="0.25">
      <c r="N46" s="2">
        <f t="shared" si="7"/>
        <v>1.7480000000000016E-2</v>
      </c>
      <c r="O46" s="2">
        <f t="shared" si="4"/>
        <v>0.92000000000000093</v>
      </c>
      <c r="P46" s="2">
        <f t="shared" si="5"/>
        <v>1.5734979646873839</v>
      </c>
      <c r="Q46" s="2">
        <f>8/PI()^2*($F$6/2/SQRT($F$7)*P46-2*O46*LN(ABS((P46+2*O46*$F$9)/(P46-2*O46*$F$9)))+LN(ABS((P46+$F$9)/(P46-$F$9))))</f>
        <v>1.4849975588636875</v>
      </c>
      <c r="R46" s="2">
        <f t="shared" si="6"/>
        <v>1.3035049972188405E-5</v>
      </c>
    </row>
    <row r="47" spans="14:18" x14ac:dyDescent="0.25">
      <c r="N47" s="2">
        <f t="shared" si="7"/>
        <v>1.8400000000000017E-2</v>
      </c>
      <c r="O47" s="2">
        <f t="shared" si="4"/>
        <v>0.96842105263157985</v>
      </c>
      <c r="P47" s="2">
        <f t="shared" si="5"/>
        <v>1.4526315789473661</v>
      </c>
      <c r="Q47" s="2">
        <f>8/PI()^2*($F$6/2/SQRT($F$7)*P47-2*O47*LN(ABS((P47+2*O47*$F$9)/(P47-2*O47*$F$9)))+LN(ABS((P47+$F$9)/(P47-$F$9))))</f>
        <v>1.3286619401445341</v>
      </c>
      <c r="R47" s="2">
        <f t="shared" si="6"/>
        <v>1.1662763135571311E-5</v>
      </c>
    </row>
    <row r="48" spans="14:18" x14ac:dyDescent="0.25">
      <c r="N48" s="2">
        <f t="shared" si="7"/>
        <v>1.9320000000000018E-2</v>
      </c>
      <c r="O48" s="2">
        <f t="shared" si="4"/>
        <v>1.0168421052631589</v>
      </c>
      <c r="P48" s="2">
        <f t="shared" si="5"/>
        <v>1.3136302283105752</v>
      </c>
      <c r="Q48" s="2">
        <f>8/PI()^2*($F$6/2/SQRT($F$7)*P48-2*O48*LN(ABS((P48+2*O48*$F$9)/(P48-2*O48*$F$9)))+LN(ABS((P48+$F$9)/(P48-$F$9))))</f>
        <v>1.1662671121612513</v>
      </c>
      <c r="R48" s="2">
        <f t="shared" si="6"/>
        <v>1.0237289615192722E-5</v>
      </c>
    </row>
    <row r="49" spans="14:18" x14ac:dyDescent="0.25">
      <c r="N49" s="2">
        <f t="shared" si="7"/>
        <v>2.0240000000000018E-2</v>
      </c>
      <c r="O49" s="2">
        <f t="shared" si="4"/>
        <v>1.0652631578947378</v>
      </c>
      <c r="P49" s="2">
        <f t="shared" si="5"/>
        <v>1.1499362863236682</v>
      </c>
      <c r="Q49" s="2">
        <f>8/PI()^2*($F$6/2/SQRT($F$7)*P49-2*O49*LN(ABS((P49+2*O49*$F$9)/(P49-2*O49*$F$9)))+LN(ABS((P49+$F$9)/(P49-$F$9))))</f>
        <v>0.99233497403698656</v>
      </c>
      <c r="R49" s="2">
        <f t="shared" si="6"/>
        <v>8.7105435955196477E-6</v>
      </c>
    </row>
    <row r="50" spans="14:18" x14ac:dyDescent="0.25">
      <c r="N50" s="2">
        <f t="shared" si="7"/>
        <v>2.1160000000000019E-2</v>
      </c>
      <c r="O50" s="2">
        <f t="shared" si="4"/>
        <v>1.1136842105263167</v>
      </c>
      <c r="P50" s="2">
        <f t="shared" si="5"/>
        <v>0.94885497404653218</v>
      </c>
      <c r="Q50" s="2">
        <f>8/PI()^2*($F$6/2/SQRT($F$7)*P50-2*O50*LN(ABS((P50+2*O50*$F$9)/(P50-2*O50*$F$9)))+LN(ABS((P50+$F$9)/(P50-$F$9))))</f>
        <v>0.79685278202706389</v>
      </c>
      <c r="R50" s="2">
        <f t="shared" si="6"/>
        <v>6.9946349555942865E-6</v>
      </c>
    </row>
    <row r="51" spans="14:18" x14ac:dyDescent="0.25">
      <c r="N51" s="2">
        <f t="shared" si="7"/>
        <v>2.208000000000002E-2</v>
      </c>
      <c r="O51" s="2">
        <f t="shared" si="4"/>
        <v>1.1621052631578959</v>
      </c>
      <c r="P51" s="2">
        <f t="shared" si="5"/>
        <v>0.67789473684209767</v>
      </c>
      <c r="Q51" s="2">
        <f>8/PI()^2*($F$6/2/SQRT($F$7)*P51-2*O51*LN(ABS((P51+2*O51*$F$9)/(P51-2*O51*$F$9)))+LN(ABS((P51+$F$9)/(P51-$F$9))))</f>
        <v>0.55464944570885344</v>
      </c>
      <c r="R51" s="2">
        <f t="shared" si="6"/>
        <v>4.8686162470150954E-6</v>
      </c>
    </row>
    <row r="52" spans="14:18" x14ac:dyDescent="0.25">
      <c r="N52" s="2">
        <v>2.3E-2</v>
      </c>
      <c r="O52" s="2">
        <f t="shared" si="4"/>
        <v>1.2105263157894737</v>
      </c>
      <c r="P52" s="2">
        <f t="shared" si="5"/>
        <v>0</v>
      </c>
      <c r="Q52" s="2">
        <f>8/PI()^2*($F$6/2/SQRT($F$7)*P52-2*O52*LN(ABS((P52+2*O52*$F$9)/(P52-2*O52*$F$9)))+LN(ABS((P52+$F$9)/(P52-$F$9))))</f>
        <v>0</v>
      </c>
      <c r="R52" s="2">
        <f t="shared" si="6"/>
        <v>0</v>
      </c>
    </row>
  </sheetData>
  <mergeCells count="2">
    <mergeCell ref="A1:B1"/>
    <mergeCell ref="E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EP3D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 Lu</dc:creator>
  <cp:lastModifiedBy>Qiao Lu</cp:lastModifiedBy>
  <dcterms:created xsi:type="dcterms:W3CDTF">2022-03-02T19:13:49Z</dcterms:created>
  <dcterms:modified xsi:type="dcterms:W3CDTF">2022-03-02T23:00:03Z</dcterms:modified>
</cp:coreProperties>
</file>