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MerineyLab\Nick\Aging Papers\First Aging Paper\Journal of Physiology Submission\Resubmission\Raw Data\"/>
    </mc:Choice>
  </mc:AlternateContent>
  <xr:revisionPtr revIDLastSave="0" documentId="13_ncr:1_{0192F13F-89F7-4537-9B17-B183BC25EFD3}" xr6:coauthVersionLast="47" xr6:coauthVersionMax="47" xr10:uidLastSave="{00000000-0000-0000-0000-000000000000}"/>
  <bookViews>
    <workbookView xWindow="25080" yWindow="-120" windowWidth="25440" windowHeight="15390" tabRatio="865" xr2:uid="{00000000-000D-0000-FFFF-FFFF00000000}"/>
  </bookViews>
  <sheets>
    <sheet name="Data Dictionary" sheetId="37" r:id="rId1"/>
    <sheet name="Animal Numbers" sheetId="1" r:id="rId2"/>
    <sheet name="3" sheetId="36" r:id="rId3"/>
    <sheet name="4" sheetId="2" r:id="rId4"/>
    <sheet name="5" sheetId="3" r:id="rId5"/>
    <sheet name="7" sheetId="33" r:id="rId6"/>
    <sheet name="10" sheetId="4" r:id="rId7"/>
    <sheet name="11" sheetId="34" r:id="rId8"/>
    <sheet name="12" sheetId="32" r:id="rId9"/>
    <sheet name="13" sheetId="5" r:id="rId10"/>
    <sheet name="16" sheetId="30" r:id="rId11"/>
    <sheet name="17" sheetId="6" r:id="rId12"/>
    <sheet name="18" sheetId="7" r:id="rId13"/>
    <sheet name="19" sheetId="8" r:id="rId14"/>
    <sheet name="20" sheetId="9" r:id="rId15"/>
    <sheet name="22" sheetId="10" r:id="rId16"/>
    <sheet name="23" sheetId="11" r:id="rId17"/>
    <sheet name="24" sheetId="12" r:id="rId18"/>
    <sheet name="24-GV" sheetId="13" r:id="rId19"/>
    <sheet name="25" sheetId="14" r:id="rId20"/>
    <sheet name="25-GV" sheetId="15" r:id="rId21"/>
    <sheet name="26" sheetId="16" r:id="rId22"/>
    <sheet name="26-GV" sheetId="17" r:id="rId23"/>
    <sheet name="27" sheetId="31" r:id="rId24"/>
    <sheet name="27-GV" sheetId="18" r:id="rId25"/>
    <sheet name="28" sheetId="19" r:id="rId26"/>
    <sheet name="29" sheetId="20" r:id="rId27"/>
    <sheet name="30" sheetId="21" r:id="rId28"/>
    <sheet name="31" sheetId="22" r:id="rId29"/>
    <sheet name="32" sheetId="23" r:id="rId30"/>
    <sheet name="33" sheetId="24" r:id="rId31"/>
    <sheet name="34" sheetId="25" r:id="rId32"/>
    <sheet name="36" sheetId="26" r:id="rId33"/>
    <sheet name="37" sheetId="27" r:id="rId34"/>
    <sheet name="38" sheetId="28" r:id="rId35"/>
    <sheet name="39-GV" sheetId="29" r:id="rId36"/>
    <sheet name="Sheet1" sheetId="35" r:id="rId3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K9" i="3"/>
  <c r="K10" i="3"/>
  <c r="K11" i="3"/>
  <c r="K12" i="3"/>
  <c r="K13" i="3"/>
  <c r="K14" i="3"/>
  <c r="K16" i="3"/>
  <c r="K17" i="3"/>
  <c r="K18" i="3"/>
  <c r="K19" i="3"/>
  <c r="K20" i="3"/>
  <c r="K21" i="3"/>
  <c r="K22" i="3"/>
  <c r="K23" i="3"/>
  <c r="L49" i="2"/>
  <c r="L34" i="36"/>
  <c r="L32" i="36"/>
  <c r="L30" i="36"/>
  <c r="K34" i="36"/>
  <c r="K32" i="36"/>
  <c r="K30" i="36"/>
  <c r="E34" i="36"/>
  <c r="E32" i="36"/>
  <c r="E30" i="36"/>
  <c r="L17" i="36"/>
  <c r="K17" i="36"/>
  <c r="AJ27" i="36"/>
  <c r="AI27" i="36"/>
  <c r="AH27" i="36"/>
  <c r="AG27" i="36"/>
  <c r="AF27" i="36"/>
  <c r="AE27" i="36"/>
  <c r="AD27" i="36"/>
  <c r="AC27" i="36"/>
  <c r="AB27" i="36"/>
  <c r="AA27" i="36"/>
  <c r="AA16" i="36"/>
  <c r="AB16" i="36"/>
  <c r="AC16" i="36"/>
  <c r="AD16" i="36"/>
  <c r="AE16" i="36"/>
  <c r="AF16" i="36"/>
  <c r="AG16" i="36"/>
  <c r="AH16" i="36"/>
  <c r="AI16" i="36"/>
  <c r="AJ16" i="36"/>
  <c r="AA17" i="36"/>
  <c r="AB17" i="36"/>
  <c r="AC17" i="36"/>
  <c r="AD17" i="36"/>
  <c r="AE17" i="36"/>
  <c r="AF17" i="36"/>
  <c r="AG17" i="36"/>
  <c r="AH17" i="36"/>
  <c r="AI17" i="36"/>
  <c r="AJ17" i="36"/>
  <c r="AA18" i="36"/>
  <c r="AB18" i="36"/>
  <c r="AC18" i="36"/>
  <c r="AD18" i="36"/>
  <c r="AE18" i="36"/>
  <c r="AF18" i="36"/>
  <c r="AG18" i="36"/>
  <c r="AH18" i="36"/>
  <c r="AI18" i="36"/>
  <c r="AJ18" i="36"/>
  <c r="AA19" i="36"/>
  <c r="AB19" i="36"/>
  <c r="AC19" i="36"/>
  <c r="AD19" i="36"/>
  <c r="AE19" i="36"/>
  <c r="AF19" i="36"/>
  <c r="AG19" i="36"/>
  <c r="AH19" i="36"/>
  <c r="AI19" i="36"/>
  <c r="AJ19" i="36"/>
  <c r="AA20" i="36"/>
  <c r="AB20" i="36"/>
  <c r="AC20" i="36"/>
  <c r="AD20" i="36"/>
  <c r="AE20" i="36"/>
  <c r="AF20" i="36"/>
  <c r="AG20" i="36"/>
  <c r="AH20" i="36"/>
  <c r="AI20" i="36"/>
  <c r="AJ20" i="36"/>
  <c r="AA21" i="36"/>
  <c r="AB21" i="36"/>
  <c r="AC21" i="36"/>
  <c r="AD21" i="36"/>
  <c r="AE21" i="36"/>
  <c r="AF21" i="36"/>
  <c r="AG21" i="36"/>
  <c r="AH21" i="36"/>
  <c r="AI21" i="36"/>
  <c r="AJ21" i="36"/>
  <c r="AA22" i="36"/>
  <c r="AB22" i="36"/>
  <c r="AC22" i="36"/>
  <c r="AD22" i="36"/>
  <c r="AE22" i="36"/>
  <c r="AF22" i="36"/>
  <c r="AG22" i="36"/>
  <c r="AH22" i="36"/>
  <c r="AI22" i="36"/>
  <c r="AJ22" i="36"/>
  <c r="AA23" i="36"/>
  <c r="AB23" i="36"/>
  <c r="AC23" i="36"/>
  <c r="AD23" i="36"/>
  <c r="AE23" i="36"/>
  <c r="AF23" i="36"/>
  <c r="AG23" i="36"/>
  <c r="AH23" i="36"/>
  <c r="AI23" i="36"/>
  <c r="AJ23" i="36"/>
  <c r="AA24" i="36"/>
  <c r="AB24" i="36"/>
  <c r="AC24" i="36"/>
  <c r="AD24" i="36"/>
  <c r="AE24" i="36"/>
  <c r="AF24" i="36"/>
  <c r="AG24" i="36"/>
  <c r="AH24" i="36"/>
  <c r="AI24" i="36"/>
  <c r="AJ24" i="36"/>
  <c r="AA25" i="36"/>
  <c r="AB25" i="36"/>
  <c r="AC25" i="36"/>
  <c r="AD25" i="36"/>
  <c r="AE25" i="36"/>
  <c r="AF25" i="36"/>
  <c r="AG25" i="36"/>
  <c r="AH25" i="36"/>
  <c r="AI25" i="36"/>
  <c r="AJ25" i="36"/>
  <c r="AJ15" i="36"/>
  <c r="AI15" i="36"/>
  <c r="AH15" i="36"/>
  <c r="AG15" i="36"/>
  <c r="AF15" i="36"/>
  <c r="AE15" i="36"/>
  <c r="AD15" i="36"/>
  <c r="AC15" i="36"/>
  <c r="AB15" i="36"/>
  <c r="AA15" i="36"/>
  <c r="K27" i="36"/>
  <c r="L27" i="36" s="1"/>
  <c r="K16" i="36"/>
  <c r="L16" i="36"/>
  <c r="K18" i="36"/>
  <c r="L18" i="36" s="1"/>
  <c r="K19" i="36"/>
  <c r="L19" i="36" s="1"/>
  <c r="K20" i="36"/>
  <c r="L20" i="36" s="1"/>
  <c r="K21" i="36"/>
  <c r="L21" i="36" s="1"/>
  <c r="K22" i="36"/>
  <c r="L22" i="36" s="1"/>
  <c r="K23" i="36"/>
  <c r="L23" i="36" s="1"/>
  <c r="K24" i="36"/>
  <c r="L24" i="36" s="1"/>
  <c r="K25" i="36"/>
  <c r="L25" i="36" s="1"/>
  <c r="K15" i="36"/>
  <c r="L15" i="36"/>
  <c r="AA4" i="36"/>
  <c r="AB4" i="36"/>
  <c r="AC4" i="36"/>
  <c r="AD4" i="36"/>
  <c r="AE4" i="36"/>
  <c r="AF4" i="36"/>
  <c r="AG4" i="36"/>
  <c r="AH4" i="36"/>
  <c r="AI4" i="36"/>
  <c r="AJ4" i="36"/>
  <c r="AA5" i="36"/>
  <c r="AB5" i="36"/>
  <c r="AC5" i="36"/>
  <c r="AD5" i="36"/>
  <c r="AE5" i="36"/>
  <c r="AF5" i="36"/>
  <c r="AG5" i="36"/>
  <c r="AH5" i="36"/>
  <c r="AI5" i="36"/>
  <c r="AJ5" i="36"/>
  <c r="AA6" i="36"/>
  <c r="AB6" i="36"/>
  <c r="AC6" i="36"/>
  <c r="AD6" i="36"/>
  <c r="AE6" i="36"/>
  <c r="AF6" i="36"/>
  <c r="AG6" i="36"/>
  <c r="AH6" i="36"/>
  <c r="AI6" i="36"/>
  <c r="AJ6" i="36"/>
  <c r="AA7" i="36"/>
  <c r="AB7" i="36"/>
  <c r="AC7" i="36"/>
  <c r="AD7" i="36"/>
  <c r="AE7" i="36"/>
  <c r="AF7" i="36"/>
  <c r="AG7" i="36"/>
  <c r="AH7" i="36"/>
  <c r="AI7" i="36"/>
  <c r="AJ7" i="36"/>
  <c r="AA8" i="36"/>
  <c r="AB8" i="36"/>
  <c r="AC8" i="36"/>
  <c r="AD8" i="36"/>
  <c r="AE8" i="36"/>
  <c r="AF8" i="36"/>
  <c r="AG8" i="36"/>
  <c r="AH8" i="36"/>
  <c r="AI8" i="36"/>
  <c r="AJ8" i="36"/>
  <c r="AA9" i="36"/>
  <c r="AB9" i="36"/>
  <c r="AC9" i="36"/>
  <c r="AD9" i="36"/>
  <c r="AE9" i="36"/>
  <c r="AF9" i="36"/>
  <c r="AG9" i="36"/>
  <c r="AH9" i="36"/>
  <c r="AI9" i="36"/>
  <c r="AJ9" i="36"/>
  <c r="AA10" i="36"/>
  <c r="AB10" i="36"/>
  <c r="AC10" i="36"/>
  <c r="AD10" i="36"/>
  <c r="AE10" i="36"/>
  <c r="AF10" i="36"/>
  <c r="AG10" i="36"/>
  <c r="AH10" i="36"/>
  <c r="AI10" i="36"/>
  <c r="AJ10" i="36"/>
  <c r="AA11" i="36"/>
  <c r="AB11" i="36"/>
  <c r="AC11" i="36"/>
  <c r="AD11" i="36"/>
  <c r="AE11" i="36"/>
  <c r="AF11" i="36"/>
  <c r="AG11" i="36"/>
  <c r="AH11" i="36"/>
  <c r="AI11" i="36"/>
  <c r="AJ11" i="36"/>
  <c r="AA12" i="36"/>
  <c r="AB12" i="36"/>
  <c r="AC12" i="36"/>
  <c r="AD12" i="36"/>
  <c r="AE12" i="36"/>
  <c r="AF12" i="36"/>
  <c r="AG12" i="36"/>
  <c r="AH12" i="36"/>
  <c r="AI12" i="36"/>
  <c r="AJ12" i="36"/>
  <c r="AA13" i="36"/>
  <c r="AB13" i="36"/>
  <c r="AC13" i="36"/>
  <c r="AD13" i="36"/>
  <c r="AE13" i="36"/>
  <c r="AF13" i="36"/>
  <c r="AG13" i="36"/>
  <c r="AH13" i="36"/>
  <c r="AI13" i="36"/>
  <c r="AJ13" i="36"/>
  <c r="K11" i="36"/>
  <c r="L11" i="36" s="1"/>
  <c r="K12" i="36"/>
  <c r="L12" i="36" s="1"/>
  <c r="K13" i="36"/>
  <c r="L13" i="36" s="1"/>
  <c r="AA3" i="36"/>
  <c r="AJ3" i="36"/>
  <c r="AI3" i="36"/>
  <c r="AH3" i="36"/>
  <c r="AG3" i="36"/>
  <c r="AF3" i="36"/>
  <c r="AE3" i="36"/>
  <c r="AD3" i="36"/>
  <c r="AC3" i="36"/>
  <c r="AB3" i="36"/>
  <c r="K4" i="36"/>
  <c r="L4" i="36" s="1"/>
  <c r="K5" i="36"/>
  <c r="L5" i="36" s="1"/>
  <c r="K6" i="36"/>
  <c r="L6" i="36" s="1"/>
  <c r="K7" i="36"/>
  <c r="L7" i="36" s="1"/>
  <c r="K8" i="36"/>
  <c r="L8" i="36" s="1"/>
  <c r="K9" i="36"/>
  <c r="L9" i="36" s="1"/>
  <c r="K10" i="36"/>
  <c r="L10" i="36" s="1"/>
  <c r="K3" i="36"/>
  <c r="L3" i="36" s="1"/>
  <c r="K49" i="2"/>
  <c r="E49" i="2"/>
  <c r="K37" i="2"/>
  <c r="L37" i="2" s="1"/>
  <c r="K38" i="2"/>
  <c r="L38" i="2" s="1"/>
  <c r="K39" i="2"/>
  <c r="L39" i="2" s="1"/>
  <c r="K40" i="2"/>
  <c r="L40" i="2" s="1"/>
  <c r="K41" i="2"/>
  <c r="L41" i="2" s="1"/>
  <c r="AA42" i="2"/>
  <c r="AB42" i="2"/>
  <c r="AC42" i="2"/>
  <c r="AD42" i="2"/>
  <c r="AE42" i="2"/>
  <c r="AF42" i="2"/>
  <c r="AG42" i="2"/>
  <c r="AH42" i="2"/>
  <c r="AI42" i="2"/>
  <c r="AJ42" i="2"/>
  <c r="AA37" i="2"/>
  <c r="AB37" i="2"/>
  <c r="AC37" i="2"/>
  <c r="AD37" i="2"/>
  <c r="AE37" i="2"/>
  <c r="AF37" i="2"/>
  <c r="AG37" i="2"/>
  <c r="AH37" i="2"/>
  <c r="AI37" i="2"/>
  <c r="AJ37" i="2"/>
  <c r="AA38" i="2"/>
  <c r="AB38" i="2"/>
  <c r="AC38" i="2"/>
  <c r="AD38" i="2"/>
  <c r="AE38" i="2"/>
  <c r="AF38" i="2"/>
  <c r="AG38" i="2"/>
  <c r="AH38" i="2"/>
  <c r="AI38" i="2"/>
  <c r="AJ38" i="2"/>
  <c r="AA39" i="2"/>
  <c r="AB39" i="2"/>
  <c r="AC39" i="2"/>
  <c r="AD39" i="2"/>
  <c r="AE39" i="2"/>
  <c r="AF39" i="2"/>
  <c r="AG39" i="2"/>
  <c r="AH39" i="2"/>
  <c r="AI39" i="2"/>
  <c r="AJ39" i="2"/>
  <c r="AA40" i="2"/>
  <c r="AB40" i="2"/>
  <c r="AC40" i="2"/>
  <c r="AD40" i="2"/>
  <c r="AE40" i="2"/>
  <c r="AF40" i="2"/>
  <c r="AG40" i="2"/>
  <c r="AH40" i="2"/>
  <c r="AI40" i="2"/>
  <c r="AJ40" i="2"/>
  <c r="AA41" i="2"/>
  <c r="AB41" i="2"/>
  <c r="AC41" i="2"/>
  <c r="AD41" i="2"/>
  <c r="AE41" i="2"/>
  <c r="AF41" i="2"/>
  <c r="AG41" i="2"/>
  <c r="AH41" i="2"/>
  <c r="AI41" i="2"/>
  <c r="AJ41" i="2"/>
  <c r="AJ36" i="2"/>
  <c r="AI36" i="2"/>
  <c r="AH36" i="2"/>
  <c r="AG36" i="2"/>
  <c r="AF36" i="2"/>
  <c r="AE36" i="2"/>
  <c r="AD36" i="2"/>
  <c r="AC36" i="2"/>
  <c r="AB36" i="2"/>
  <c r="AA36" i="2"/>
  <c r="K36" i="2"/>
  <c r="L36" i="2" s="1"/>
  <c r="E19" i="21"/>
  <c r="E17" i="21"/>
  <c r="L25" i="20"/>
  <c r="K25" i="20"/>
  <c r="E25" i="20"/>
  <c r="E23" i="20"/>
  <c r="E44" i="19"/>
  <c r="E42" i="19"/>
  <c r="E40" i="19"/>
  <c r="E38" i="19"/>
  <c r="N9" i="18"/>
  <c r="M9" i="18"/>
  <c r="K9" i="18"/>
  <c r="G9" i="18"/>
  <c r="F9" i="18"/>
  <c r="D9" i="18"/>
  <c r="L72" i="31"/>
  <c r="L70" i="31"/>
  <c r="L66" i="31"/>
  <c r="K72" i="31"/>
  <c r="K70" i="31"/>
  <c r="K66" i="31"/>
  <c r="E72" i="31"/>
  <c r="E70" i="31"/>
  <c r="E68" i="31"/>
  <c r="E66" i="31"/>
  <c r="E64" i="31"/>
  <c r="O15" i="17"/>
  <c r="N15" i="17"/>
  <c r="L15" i="17"/>
  <c r="G49" i="17"/>
  <c r="E51" i="17"/>
  <c r="E50" i="17"/>
  <c r="E49" i="17"/>
  <c r="L66" i="16"/>
  <c r="K66" i="16"/>
  <c r="E66" i="16"/>
  <c r="E64" i="16"/>
  <c r="E62" i="16"/>
  <c r="E60" i="16"/>
  <c r="M10" i="15"/>
  <c r="E10" i="15"/>
  <c r="L62" i="14"/>
  <c r="L60" i="14"/>
  <c r="L58" i="14"/>
  <c r="K62" i="14"/>
  <c r="K60" i="14"/>
  <c r="K58" i="14"/>
  <c r="E62" i="14"/>
  <c r="E60" i="14"/>
  <c r="E58" i="14"/>
  <c r="E56" i="14"/>
  <c r="L17" i="13"/>
  <c r="E17" i="13"/>
  <c r="E16" i="12"/>
  <c r="E30" i="11"/>
  <c r="E28" i="11"/>
  <c r="E21" i="10"/>
  <c r="E19" i="10"/>
  <c r="L59" i="9"/>
  <c r="L57" i="9"/>
  <c r="K59" i="9"/>
  <c r="K57" i="9"/>
  <c r="E59" i="9"/>
  <c r="E57" i="9"/>
  <c r="E55" i="9"/>
  <c r="E53" i="9"/>
  <c r="E51" i="9"/>
  <c r="L57" i="8"/>
  <c r="K57" i="8"/>
  <c r="E57" i="8"/>
  <c r="E55" i="8"/>
  <c r="E53" i="8"/>
  <c r="E51" i="8"/>
  <c r="E12" i="7"/>
  <c r="L30" i="6"/>
  <c r="L28" i="6"/>
  <c r="E30" i="6"/>
  <c r="E28" i="6"/>
  <c r="J42" i="30"/>
  <c r="J40" i="30"/>
  <c r="I42" i="30"/>
  <c r="I40" i="30"/>
  <c r="E44" i="30"/>
  <c r="E42" i="30"/>
  <c r="E40" i="30"/>
  <c r="E41" i="5"/>
  <c r="E39" i="5"/>
  <c r="E37" i="5"/>
  <c r="E18" i="32"/>
  <c r="E17" i="34"/>
  <c r="E32" i="4"/>
  <c r="E30" i="4"/>
  <c r="E51" i="33"/>
  <c r="E49" i="33"/>
  <c r="E47" i="33"/>
  <c r="G27" i="3"/>
  <c r="G25" i="3"/>
  <c r="E47" i="2" l="1"/>
  <c r="E45" i="2"/>
  <c r="AR23" i="1"/>
  <c r="AQ23" i="1"/>
  <c r="AP23" i="1"/>
  <c r="AQ19" i="1"/>
  <c r="AQ18" i="1"/>
  <c r="AQ17" i="1"/>
  <c r="AQ16" i="1"/>
  <c r="AQ15" i="1"/>
  <c r="AQ14" i="1"/>
  <c r="AQ13" i="1"/>
  <c r="AQ12" i="1"/>
  <c r="AQ11" i="1"/>
  <c r="AQ20" i="1" s="1"/>
  <c r="AR9" i="1"/>
  <c r="AP9" i="1"/>
  <c r="AQ9" i="1"/>
  <c r="M21" i="20" l="1"/>
  <c r="AJ14" i="34"/>
  <c r="AI14" i="34"/>
  <c r="AH14" i="34"/>
  <c r="AG14" i="34"/>
  <c r="AF14" i="34"/>
  <c r="AE14" i="34"/>
  <c r="AD14" i="34"/>
  <c r="AC14" i="34"/>
  <c r="AB14" i="34"/>
  <c r="AA14" i="34"/>
  <c r="K14" i="34"/>
  <c r="L14" i="34" s="1"/>
  <c r="AJ13" i="34"/>
  <c r="AI13" i="34"/>
  <c r="AH13" i="34"/>
  <c r="AG13" i="34"/>
  <c r="AF13" i="34"/>
  <c r="AE13" i="34"/>
  <c r="AD13" i="34"/>
  <c r="AC13" i="34"/>
  <c r="AB13" i="34"/>
  <c r="AA13" i="34"/>
  <c r="K13" i="34"/>
  <c r="L13" i="34" s="1"/>
  <c r="AJ12" i="34"/>
  <c r="AI12" i="34"/>
  <c r="AH12" i="34"/>
  <c r="AG12" i="34"/>
  <c r="AF12" i="34"/>
  <c r="AE12" i="34"/>
  <c r="AD12" i="34"/>
  <c r="AC12" i="34"/>
  <c r="AB12" i="34"/>
  <c r="AA12" i="34"/>
  <c r="K12" i="34"/>
  <c r="L12" i="34" s="1"/>
  <c r="AJ11" i="34"/>
  <c r="AI11" i="34"/>
  <c r="AH11" i="34"/>
  <c r="AG11" i="34"/>
  <c r="AF11" i="34"/>
  <c r="AE11" i="34"/>
  <c r="AD11" i="34"/>
  <c r="AC11" i="34"/>
  <c r="AB11" i="34"/>
  <c r="AA11" i="34"/>
  <c r="K11" i="34"/>
  <c r="L11" i="34" s="1"/>
  <c r="AJ10" i="34"/>
  <c r="AI10" i="34"/>
  <c r="AH10" i="34"/>
  <c r="AG10" i="34"/>
  <c r="AF10" i="34"/>
  <c r="AE10" i="34"/>
  <c r="AD10" i="34"/>
  <c r="AC10" i="34"/>
  <c r="AB10" i="34"/>
  <c r="AA10" i="34"/>
  <c r="K10" i="34"/>
  <c r="L10" i="34" s="1"/>
  <c r="AJ9" i="34"/>
  <c r="AI9" i="34"/>
  <c r="AH9" i="34"/>
  <c r="AG9" i="34"/>
  <c r="AF9" i="34"/>
  <c r="AE9" i="34"/>
  <c r="AD9" i="34"/>
  <c r="AC9" i="34"/>
  <c r="AB9" i="34"/>
  <c r="AA9" i="34"/>
  <c r="K9" i="34"/>
  <c r="L9" i="34" s="1"/>
  <c r="AJ8" i="34"/>
  <c r="AI8" i="34"/>
  <c r="AH8" i="34"/>
  <c r="AG8" i="34"/>
  <c r="AF8" i="34"/>
  <c r="AE8" i="34"/>
  <c r="AD8" i="34"/>
  <c r="AC8" i="34"/>
  <c r="AB8" i="34"/>
  <c r="AA8" i="34"/>
  <c r="K8" i="34"/>
  <c r="L8" i="34" s="1"/>
  <c r="AJ7" i="34"/>
  <c r="AI7" i="34"/>
  <c r="AH7" i="34"/>
  <c r="AG7" i="34"/>
  <c r="AF7" i="34"/>
  <c r="AE7" i="34"/>
  <c r="AD7" i="34"/>
  <c r="AC7" i="34"/>
  <c r="AB7" i="34"/>
  <c r="AA7" i="34"/>
  <c r="K7" i="34"/>
  <c r="L7" i="34" s="1"/>
  <c r="AJ6" i="34"/>
  <c r="AI6" i="34"/>
  <c r="AH6" i="34"/>
  <c r="AG6" i="34"/>
  <c r="AF6" i="34"/>
  <c r="AE6" i="34"/>
  <c r="AD6" i="34"/>
  <c r="AC6" i="34"/>
  <c r="AB6" i="34"/>
  <c r="AA6" i="34"/>
  <c r="K6" i="34"/>
  <c r="L6" i="34" s="1"/>
  <c r="AJ5" i="34"/>
  <c r="AI5" i="34"/>
  <c r="AH5" i="34"/>
  <c r="AG5" i="34"/>
  <c r="AF5" i="34"/>
  <c r="AE5" i="34"/>
  <c r="AD5" i="34"/>
  <c r="AC5" i="34"/>
  <c r="AB5" i="34"/>
  <c r="AA5" i="34"/>
  <c r="K5" i="34"/>
  <c r="L5" i="34" s="1"/>
  <c r="AJ4" i="34"/>
  <c r="AI4" i="34"/>
  <c r="AH4" i="34"/>
  <c r="AG4" i="34"/>
  <c r="AF4" i="34"/>
  <c r="AE4" i="34"/>
  <c r="AD4" i="34"/>
  <c r="AC4" i="34"/>
  <c r="AB4" i="34"/>
  <c r="AA4" i="34"/>
  <c r="K4" i="34"/>
  <c r="L4" i="34" s="1"/>
  <c r="AJ3" i="34"/>
  <c r="AI3" i="34"/>
  <c r="AH3" i="34"/>
  <c r="AG3" i="34"/>
  <c r="AF3" i="34"/>
  <c r="AE3" i="34"/>
  <c r="AD3" i="34"/>
  <c r="AC3" i="34"/>
  <c r="AB3" i="34"/>
  <c r="AA3" i="34"/>
  <c r="K3" i="34"/>
  <c r="L3" i="34" l="1"/>
  <c r="L17" i="34" s="1"/>
  <c r="K17" i="34"/>
  <c r="AJ34" i="5"/>
  <c r="AI34" i="5"/>
  <c r="AH34" i="5"/>
  <c r="AG34" i="5"/>
  <c r="AF34" i="5"/>
  <c r="AE34" i="5"/>
  <c r="AD34" i="5"/>
  <c r="AC34" i="5"/>
  <c r="AB34" i="5"/>
  <c r="AA34" i="5"/>
  <c r="K34" i="5"/>
  <c r="L34" i="5" s="1"/>
  <c r="AJ33" i="5"/>
  <c r="AI33" i="5"/>
  <c r="AH33" i="5"/>
  <c r="AG33" i="5"/>
  <c r="AF33" i="5"/>
  <c r="AE33" i="5"/>
  <c r="AD33" i="5"/>
  <c r="AC33" i="5"/>
  <c r="AB33" i="5"/>
  <c r="AA33" i="5"/>
  <c r="K33" i="5"/>
  <c r="L33" i="5" s="1"/>
  <c r="AJ32" i="5"/>
  <c r="AI32" i="5"/>
  <c r="AH32" i="5"/>
  <c r="AG32" i="5"/>
  <c r="AF32" i="5"/>
  <c r="AE32" i="5"/>
  <c r="AD32" i="5"/>
  <c r="AC32" i="5"/>
  <c r="AB32" i="5"/>
  <c r="AA32" i="5"/>
  <c r="K32" i="5"/>
  <c r="L32" i="5" s="1"/>
  <c r="AJ31" i="5"/>
  <c r="AI31" i="5"/>
  <c r="AH31" i="5"/>
  <c r="AG31" i="5"/>
  <c r="AF31" i="5"/>
  <c r="AE31" i="5"/>
  <c r="AD31" i="5"/>
  <c r="AC31" i="5"/>
  <c r="AB31" i="5"/>
  <c r="AA31" i="5"/>
  <c r="K31" i="5"/>
  <c r="L31" i="5" s="1"/>
  <c r="AJ30" i="5"/>
  <c r="AI30" i="5"/>
  <c r="AH30" i="5"/>
  <c r="AG30" i="5"/>
  <c r="AF30" i="5"/>
  <c r="AE30" i="5"/>
  <c r="AD30" i="5"/>
  <c r="AC30" i="5"/>
  <c r="AB30" i="5"/>
  <c r="AA30" i="5"/>
  <c r="K30" i="5"/>
  <c r="L30" i="5" s="1"/>
  <c r="AJ29" i="5"/>
  <c r="AI29" i="5"/>
  <c r="AH29" i="5"/>
  <c r="AG29" i="5"/>
  <c r="AF29" i="5"/>
  <c r="AE29" i="5"/>
  <c r="AD29" i="5"/>
  <c r="AC29" i="5"/>
  <c r="AB29" i="5"/>
  <c r="AA29" i="5"/>
  <c r="K29" i="5"/>
  <c r="L29" i="5" s="1"/>
  <c r="AJ28" i="5"/>
  <c r="AI28" i="5"/>
  <c r="AH28" i="5"/>
  <c r="AG28" i="5"/>
  <c r="AF28" i="5"/>
  <c r="AE28" i="5"/>
  <c r="AD28" i="5"/>
  <c r="AC28" i="5"/>
  <c r="AB28" i="5"/>
  <c r="AA28" i="5"/>
  <c r="K28" i="5"/>
  <c r="L28" i="5" s="1"/>
  <c r="AJ27" i="5"/>
  <c r="AI27" i="5"/>
  <c r="AH27" i="5"/>
  <c r="AG27" i="5"/>
  <c r="AF27" i="5"/>
  <c r="AE27" i="5"/>
  <c r="AD27" i="5"/>
  <c r="AC27" i="5"/>
  <c r="AB27" i="5"/>
  <c r="AA27" i="5"/>
  <c r="K27" i="5"/>
  <c r="L27" i="5" s="1"/>
  <c r="AJ26" i="5"/>
  <c r="AI26" i="5"/>
  <c r="AH26" i="5"/>
  <c r="AG26" i="5"/>
  <c r="AF26" i="5"/>
  <c r="AE26" i="5"/>
  <c r="AD26" i="5"/>
  <c r="AC26" i="5"/>
  <c r="AB26" i="5"/>
  <c r="AA26" i="5"/>
  <c r="K26" i="5"/>
  <c r="L26" i="5" s="1"/>
  <c r="AJ25" i="5"/>
  <c r="AI25" i="5"/>
  <c r="AH25" i="5"/>
  <c r="AG25" i="5"/>
  <c r="AF25" i="5"/>
  <c r="AE25" i="5"/>
  <c r="AD25" i="5"/>
  <c r="AC25" i="5"/>
  <c r="AB25" i="5"/>
  <c r="AA25" i="5"/>
  <c r="K25" i="5"/>
  <c r="L25" i="5" s="1"/>
  <c r="AJ24" i="5"/>
  <c r="AI24" i="5"/>
  <c r="AH24" i="5"/>
  <c r="AG24" i="5"/>
  <c r="AF24" i="5"/>
  <c r="AE24" i="5"/>
  <c r="AD24" i="5"/>
  <c r="AC24" i="5"/>
  <c r="AB24" i="5"/>
  <c r="AA24" i="5"/>
  <c r="K24" i="5"/>
  <c r="AJ22" i="5"/>
  <c r="AI22" i="5"/>
  <c r="AH22" i="5"/>
  <c r="AG22" i="5"/>
  <c r="AF22" i="5"/>
  <c r="AE22" i="5"/>
  <c r="AD22" i="5"/>
  <c r="AC22" i="5"/>
  <c r="AB22" i="5"/>
  <c r="AA22" i="5"/>
  <c r="K22" i="5"/>
  <c r="L22" i="5" s="1"/>
  <c r="AJ21" i="5"/>
  <c r="AI21" i="5"/>
  <c r="AH21" i="5"/>
  <c r="AG21" i="5"/>
  <c r="AF21" i="5"/>
  <c r="AE21" i="5"/>
  <c r="AD21" i="5"/>
  <c r="AC21" i="5"/>
  <c r="AB21" i="5"/>
  <c r="AA21" i="5"/>
  <c r="K21" i="5"/>
  <c r="L21" i="5" s="1"/>
  <c r="AJ20" i="5"/>
  <c r="AI20" i="5"/>
  <c r="AH20" i="5"/>
  <c r="AG20" i="5"/>
  <c r="AF20" i="5"/>
  <c r="AE20" i="5"/>
  <c r="AD20" i="5"/>
  <c r="AC20" i="5"/>
  <c r="AB20" i="5"/>
  <c r="AA20" i="5"/>
  <c r="K20" i="5"/>
  <c r="L20" i="5" s="1"/>
  <c r="AJ19" i="5"/>
  <c r="AI19" i="5"/>
  <c r="AH19" i="5"/>
  <c r="AG19" i="5"/>
  <c r="AF19" i="5"/>
  <c r="AE19" i="5"/>
  <c r="AD19" i="5"/>
  <c r="AC19" i="5"/>
  <c r="AB19" i="5"/>
  <c r="AA19" i="5"/>
  <c r="K19" i="5"/>
  <c r="L19" i="5" s="1"/>
  <c r="AJ18" i="5"/>
  <c r="AI18" i="5"/>
  <c r="AH18" i="5"/>
  <c r="AG18" i="5"/>
  <c r="AF18" i="5"/>
  <c r="AE18" i="5"/>
  <c r="AD18" i="5"/>
  <c r="AC18" i="5"/>
  <c r="AB18" i="5"/>
  <c r="AA18" i="5"/>
  <c r="K18" i="5"/>
  <c r="L18" i="5" s="1"/>
  <c r="AJ17" i="5"/>
  <c r="AI17" i="5"/>
  <c r="AH17" i="5"/>
  <c r="AG17" i="5"/>
  <c r="AF17" i="5"/>
  <c r="AE17" i="5"/>
  <c r="AD17" i="5"/>
  <c r="AC17" i="5"/>
  <c r="AB17" i="5"/>
  <c r="AA17" i="5"/>
  <c r="K17" i="5"/>
  <c r="L17" i="5" s="1"/>
  <c r="AJ16" i="5"/>
  <c r="AI16" i="5"/>
  <c r="AH16" i="5"/>
  <c r="AG16" i="5"/>
  <c r="AF16" i="5"/>
  <c r="AE16" i="5"/>
  <c r="AD16" i="5"/>
  <c r="AC16" i="5"/>
  <c r="AB16" i="5"/>
  <c r="AA16" i="5"/>
  <c r="K16" i="5"/>
  <c r="L16" i="5" s="1"/>
  <c r="AJ15" i="5"/>
  <c r="AI15" i="5"/>
  <c r="AH15" i="5"/>
  <c r="AG15" i="5"/>
  <c r="AF15" i="5"/>
  <c r="AE15" i="5"/>
  <c r="AD15" i="5"/>
  <c r="AC15" i="5"/>
  <c r="AB15" i="5"/>
  <c r="AA15" i="5"/>
  <c r="K15" i="5"/>
  <c r="L15" i="5" s="1"/>
  <c r="AJ14" i="5"/>
  <c r="AI14" i="5"/>
  <c r="AH14" i="5"/>
  <c r="AG14" i="5"/>
  <c r="AF14" i="5"/>
  <c r="AE14" i="5"/>
  <c r="AD14" i="5"/>
  <c r="AC14" i="5"/>
  <c r="AB14" i="5"/>
  <c r="AA14" i="5"/>
  <c r="K14" i="5"/>
  <c r="L14" i="5" s="1"/>
  <c r="AJ13" i="5"/>
  <c r="AI13" i="5"/>
  <c r="AH13" i="5"/>
  <c r="AG13" i="5"/>
  <c r="AF13" i="5"/>
  <c r="AE13" i="5"/>
  <c r="AD13" i="5"/>
  <c r="AC13" i="5"/>
  <c r="AB13" i="5"/>
  <c r="AA13" i="5"/>
  <c r="K13" i="5"/>
  <c r="L13" i="5" s="1"/>
  <c r="AJ12" i="5"/>
  <c r="AI12" i="5"/>
  <c r="AH12" i="5"/>
  <c r="AG12" i="5"/>
  <c r="AF12" i="5"/>
  <c r="AE12" i="5"/>
  <c r="AD12" i="5"/>
  <c r="AC12" i="5"/>
  <c r="AB12" i="5"/>
  <c r="AA12" i="5"/>
  <c r="K12" i="5"/>
  <c r="L12" i="5" s="1"/>
  <c r="AJ11" i="5"/>
  <c r="AI11" i="5"/>
  <c r="AH11" i="5"/>
  <c r="AG11" i="5"/>
  <c r="AF11" i="5"/>
  <c r="AE11" i="5"/>
  <c r="AD11" i="5"/>
  <c r="AC11" i="5"/>
  <c r="AB11" i="5"/>
  <c r="AA11" i="5"/>
  <c r="K11" i="5"/>
  <c r="AJ44" i="33"/>
  <c r="AI44" i="33"/>
  <c r="AH44" i="33"/>
  <c r="AG44" i="33"/>
  <c r="AF44" i="33"/>
  <c r="AE44" i="33"/>
  <c r="AD44" i="33"/>
  <c r="AC44" i="33"/>
  <c r="AB44" i="33"/>
  <c r="AA44" i="33"/>
  <c r="K44" i="33"/>
  <c r="L44" i="33" s="1"/>
  <c r="AJ43" i="33"/>
  <c r="AI43" i="33"/>
  <c r="AH43" i="33"/>
  <c r="AG43" i="33"/>
  <c r="AF43" i="33"/>
  <c r="AE43" i="33"/>
  <c r="AD43" i="33"/>
  <c r="AC43" i="33"/>
  <c r="AB43" i="33"/>
  <c r="AA43" i="33"/>
  <c r="K43" i="33"/>
  <c r="L43" i="33" s="1"/>
  <c r="AJ42" i="33"/>
  <c r="AI42" i="33"/>
  <c r="AH42" i="33"/>
  <c r="AG42" i="33"/>
  <c r="AF42" i="33"/>
  <c r="AE42" i="33"/>
  <c r="AD42" i="33"/>
  <c r="AC42" i="33"/>
  <c r="AB42" i="33"/>
  <c r="AA42" i="33"/>
  <c r="K42" i="33"/>
  <c r="L42" i="33" s="1"/>
  <c r="AJ41" i="33"/>
  <c r="AI41" i="33"/>
  <c r="AH41" i="33"/>
  <c r="AG41" i="33"/>
  <c r="AF41" i="33"/>
  <c r="AE41" i="33"/>
  <c r="AD41" i="33"/>
  <c r="AC41" i="33"/>
  <c r="AB41" i="33"/>
  <c r="AA41" i="33"/>
  <c r="K41" i="33"/>
  <c r="L41" i="33" s="1"/>
  <c r="AJ40" i="33"/>
  <c r="AI40" i="33"/>
  <c r="AH40" i="33"/>
  <c r="AG40" i="33"/>
  <c r="AF40" i="33"/>
  <c r="AE40" i="33"/>
  <c r="AD40" i="33"/>
  <c r="AC40" i="33"/>
  <c r="AB40" i="33"/>
  <c r="AA40" i="33"/>
  <c r="K40" i="33"/>
  <c r="L40" i="33" s="1"/>
  <c r="AJ39" i="33"/>
  <c r="AI39" i="33"/>
  <c r="AH39" i="33"/>
  <c r="AG39" i="33"/>
  <c r="AF39" i="33"/>
  <c r="AE39" i="33"/>
  <c r="AD39" i="33"/>
  <c r="AC39" i="33"/>
  <c r="AB39" i="33"/>
  <c r="AA39" i="33"/>
  <c r="K39" i="33"/>
  <c r="L39" i="33" s="1"/>
  <c r="AJ38" i="33"/>
  <c r="AI38" i="33"/>
  <c r="AH38" i="33"/>
  <c r="AG38" i="33"/>
  <c r="AF38" i="33"/>
  <c r="AE38" i="33"/>
  <c r="AD38" i="33"/>
  <c r="AC38" i="33"/>
  <c r="AB38" i="33"/>
  <c r="AA38" i="33"/>
  <c r="K38" i="33"/>
  <c r="L38" i="33" s="1"/>
  <c r="AJ37" i="33"/>
  <c r="AI37" i="33"/>
  <c r="AH37" i="33"/>
  <c r="AG37" i="33"/>
  <c r="AF37" i="33"/>
  <c r="AE37" i="33"/>
  <c r="AD37" i="33"/>
  <c r="AC37" i="33"/>
  <c r="AB37" i="33"/>
  <c r="AA37" i="33"/>
  <c r="K37" i="33"/>
  <c r="L37" i="33" s="1"/>
  <c r="AJ36" i="33"/>
  <c r="AI36" i="33"/>
  <c r="AH36" i="33"/>
  <c r="AG36" i="33"/>
  <c r="AF36" i="33"/>
  <c r="AE36" i="33"/>
  <c r="AD36" i="33"/>
  <c r="AC36" i="33"/>
  <c r="AB36" i="33"/>
  <c r="AA36" i="33"/>
  <c r="K36" i="33"/>
  <c r="L36" i="33" s="1"/>
  <c r="AJ35" i="33"/>
  <c r="AI35" i="33"/>
  <c r="AH35" i="33"/>
  <c r="AG35" i="33"/>
  <c r="AF35" i="33"/>
  <c r="AE35" i="33"/>
  <c r="AD35" i="33"/>
  <c r="AC35" i="33"/>
  <c r="AB35" i="33"/>
  <c r="AA35" i="33"/>
  <c r="K35" i="33"/>
  <c r="L35" i="33" s="1"/>
  <c r="AJ34" i="33"/>
  <c r="AI34" i="33"/>
  <c r="AH34" i="33"/>
  <c r="AG34" i="33"/>
  <c r="AF34" i="33"/>
  <c r="AE34" i="33"/>
  <c r="AD34" i="33"/>
  <c r="AC34" i="33"/>
  <c r="AB34" i="33"/>
  <c r="AA34" i="33"/>
  <c r="K34" i="33"/>
  <c r="L34" i="33" s="1"/>
  <c r="AJ33" i="33"/>
  <c r="AI33" i="33"/>
  <c r="AH33" i="33"/>
  <c r="AG33" i="33"/>
  <c r="AF33" i="33"/>
  <c r="AE33" i="33"/>
  <c r="AD33" i="33"/>
  <c r="AC33" i="33"/>
  <c r="AB33" i="33"/>
  <c r="AA33" i="33"/>
  <c r="K33" i="33"/>
  <c r="L33" i="33" s="1"/>
  <c r="AJ32" i="33"/>
  <c r="AI32" i="33"/>
  <c r="AH32" i="33"/>
  <c r="AG32" i="33"/>
  <c r="AF32" i="33"/>
  <c r="AE32" i="33"/>
  <c r="AD32" i="33"/>
  <c r="AC32" i="33"/>
  <c r="AB32" i="33"/>
  <c r="AA32" i="33"/>
  <c r="K32" i="33"/>
  <c r="L32" i="33" s="1"/>
  <c r="AJ31" i="33"/>
  <c r="AI31" i="33"/>
  <c r="AH31" i="33"/>
  <c r="AG31" i="33"/>
  <c r="AF31" i="33"/>
  <c r="AE31" i="33"/>
  <c r="AD31" i="33"/>
  <c r="AC31" i="33"/>
  <c r="AB31" i="33"/>
  <c r="AA31" i="33"/>
  <c r="K31" i="33"/>
  <c r="AJ29" i="33"/>
  <c r="AI29" i="33"/>
  <c r="AH29" i="33"/>
  <c r="AG29" i="33"/>
  <c r="AF29" i="33"/>
  <c r="AE29" i="33"/>
  <c r="AD29" i="33"/>
  <c r="AC29" i="33"/>
  <c r="AB29" i="33"/>
  <c r="AA29" i="33"/>
  <c r="K29" i="33"/>
  <c r="L29" i="33" s="1"/>
  <c r="AJ28" i="33"/>
  <c r="AI28" i="33"/>
  <c r="AH28" i="33"/>
  <c r="AG28" i="33"/>
  <c r="AF28" i="33"/>
  <c r="AE28" i="33"/>
  <c r="AD28" i="33"/>
  <c r="AC28" i="33"/>
  <c r="AB28" i="33"/>
  <c r="AA28" i="33"/>
  <c r="K28" i="33"/>
  <c r="L28" i="33" s="1"/>
  <c r="AJ27" i="33"/>
  <c r="AI27" i="33"/>
  <c r="AH27" i="33"/>
  <c r="AG27" i="33"/>
  <c r="AF27" i="33"/>
  <c r="AE27" i="33"/>
  <c r="AD27" i="33"/>
  <c r="AC27" i="33"/>
  <c r="AB27" i="33"/>
  <c r="AA27" i="33"/>
  <c r="K27" i="33"/>
  <c r="L27" i="33" s="1"/>
  <c r="AJ26" i="33"/>
  <c r="AI26" i="33"/>
  <c r="AH26" i="33"/>
  <c r="AG26" i="33"/>
  <c r="AF26" i="33"/>
  <c r="AE26" i="33"/>
  <c r="AD26" i="33"/>
  <c r="AC26" i="33"/>
  <c r="AB26" i="33"/>
  <c r="AA26" i="33"/>
  <c r="K26" i="33"/>
  <c r="L26" i="33" s="1"/>
  <c r="AJ25" i="33"/>
  <c r="AI25" i="33"/>
  <c r="AH25" i="33"/>
  <c r="AG25" i="33"/>
  <c r="AF25" i="33"/>
  <c r="AE25" i="33"/>
  <c r="AD25" i="33"/>
  <c r="AC25" i="33"/>
  <c r="AB25" i="33"/>
  <c r="AA25" i="33"/>
  <c r="K25" i="33"/>
  <c r="L25" i="33" s="1"/>
  <c r="AJ24" i="33"/>
  <c r="AI24" i="33"/>
  <c r="AH24" i="33"/>
  <c r="AG24" i="33"/>
  <c r="AF24" i="33"/>
  <c r="AE24" i="33"/>
  <c r="AD24" i="33"/>
  <c r="AC24" i="33"/>
  <c r="AB24" i="33"/>
  <c r="AA24" i="33"/>
  <c r="K24" i="33"/>
  <c r="L24" i="33" s="1"/>
  <c r="AJ23" i="33"/>
  <c r="AI23" i="33"/>
  <c r="AH23" i="33"/>
  <c r="AG23" i="33"/>
  <c r="AF23" i="33"/>
  <c r="AE23" i="33"/>
  <c r="AD23" i="33"/>
  <c r="AC23" i="33"/>
  <c r="AB23" i="33"/>
  <c r="AA23" i="33"/>
  <c r="K23" i="33"/>
  <c r="L23" i="33" s="1"/>
  <c r="AJ22" i="33"/>
  <c r="AI22" i="33"/>
  <c r="AH22" i="33"/>
  <c r="AG22" i="33"/>
  <c r="AF22" i="33"/>
  <c r="AE22" i="33"/>
  <c r="AD22" i="33"/>
  <c r="AC22" i="33"/>
  <c r="AB22" i="33"/>
  <c r="AA22" i="33"/>
  <c r="K22" i="33"/>
  <c r="L22" i="33" s="1"/>
  <c r="AJ21" i="33"/>
  <c r="AI21" i="33"/>
  <c r="AH21" i="33"/>
  <c r="AG21" i="33"/>
  <c r="AF21" i="33"/>
  <c r="AE21" i="33"/>
  <c r="AD21" i="33"/>
  <c r="AC21" i="33"/>
  <c r="AB21" i="33"/>
  <c r="AA21" i="33"/>
  <c r="K21" i="33"/>
  <c r="L21" i="33" s="1"/>
  <c r="AJ20" i="33"/>
  <c r="AI20" i="33"/>
  <c r="AH20" i="33"/>
  <c r="AG20" i="33"/>
  <c r="AF20" i="33"/>
  <c r="AE20" i="33"/>
  <c r="AD20" i="33"/>
  <c r="AC20" i="33"/>
  <c r="AB20" i="33"/>
  <c r="AA20" i="33"/>
  <c r="K20" i="33"/>
  <c r="L20" i="33" s="1"/>
  <c r="AJ19" i="33"/>
  <c r="AI19" i="33"/>
  <c r="AH19" i="33"/>
  <c r="AG19" i="33"/>
  <c r="AF19" i="33"/>
  <c r="AE19" i="33"/>
  <c r="AD19" i="33"/>
  <c r="AC19" i="33"/>
  <c r="AB19" i="33"/>
  <c r="AA19" i="33"/>
  <c r="K19" i="33"/>
  <c r="AJ17" i="33"/>
  <c r="AI17" i="33"/>
  <c r="AH17" i="33"/>
  <c r="AG17" i="33"/>
  <c r="AF17" i="33"/>
  <c r="AE17" i="33"/>
  <c r="AD17" i="33"/>
  <c r="AC17" i="33"/>
  <c r="AB17" i="33"/>
  <c r="AA17" i="33"/>
  <c r="K17" i="33"/>
  <c r="L17" i="33" s="1"/>
  <c r="AJ16" i="33"/>
  <c r="AI16" i="33"/>
  <c r="AH16" i="33"/>
  <c r="AG16" i="33"/>
  <c r="AF16" i="33"/>
  <c r="AE16" i="33"/>
  <c r="AD16" i="33"/>
  <c r="AC16" i="33"/>
  <c r="AB16" i="33"/>
  <c r="AA16" i="33"/>
  <c r="K16" i="33"/>
  <c r="L16" i="33" s="1"/>
  <c r="AJ15" i="33"/>
  <c r="AI15" i="33"/>
  <c r="AH15" i="33"/>
  <c r="AG15" i="33"/>
  <c r="AF15" i="33"/>
  <c r="AE15" i="33"/>
  <c r="AD15" i="33"/>
  <c r="AC15" i="33"/>
  <c r="AB15" i="33"/>
  <c r="AA15" i="33"/>
  <c r="K15" i="33"/>
  <c r="L15" i="33" s="1"/>
  <c r="AJ14" i="33"/>
  <c r="AI14" i="33"/>
  <c r="AH14" i="33"/>
  <c r="AG14" i="33"/>
  <c r="AF14" i="33"/>
  <c r="AE14" i="33"/>
  <c r="AD14" i="33"/>
  <c r="AC14" i="33"/>
  <c r="AB14" i="33"/>
  <c r="AA14" i="33"/>
  <c r="K14" i="33"/>
  <c r="L14" i="33" s="1"/>
  <c r="AJ13" i="33"/>
  <c r="AI13" i="33"/>
  <c r="AH13" i="33"/>
  <c r="AG13" i="33"/>
  <c r="AF13" i="33"/>
  <c r="AE13" i="33"/>
  <c r="AD13" i="33"/>
  <c r="AC13" i="33"/>
  <c r="AB13" i="33"/>
  <c r="AA13" i="33"/>
  <c r="K13" i="33"/>
  <c r="L13" i="33" s="1"/>
  <c r="AJ12" i="33"/>
  <c r="AI12" i="33"/>
  <c r="AH12" i="33"/>
  <c r="AG12" i="33"/>
  <c r="AF12" i="33"/>
  <c r="AE12" i="33"/>
  <c r="AD12" i="33"/>
  <c r="AC12" i="33"/>
  <c r="AB12" i="33"/>
  <c r="AA12" i="33"/>
  <c r="K12" i="33"/>
  <c r="L12" i="33" s="1"/>
  <c r="AJ11" i="33"/>
  <c r="AI11" i="33"/>
  <c r="AH11" i="33"/>
  <c r="AG11" i="33"/>
  <c r="AF11" i="33"/>
  <c r="AE11" i="33"/>
  <c r="AD11" i="33"/>
  <c r="AC11" i="33"/>
  <c r="AB11" i="33"/>
  <c r="AA11" i="33"/>
  <c r="K11" i="33"/>
  <c r="L11" i="33" s="1"/>
  <c r="AJ10" i="33"/>
  <c r="AI10" i="33"/>
  <c r="AH10" i="33"/>
  <c r="AG10" i="33"/>
  <c r="AF10" i="33"/>
  <c r="AE10" i="33"/>
  <c r="AD10" i="33"/>
  <c r="AC10" i="33"/>
  <c r="AB10" i="33"/>
  <c r="AA10" i="33"/>
  <c r="K10" i="33"/>
  <c r="L10" i="33" s="1"/>
  <c r="AJ9" i="33"/>
  <c r="AI9" i="33"/>
  <c r="AH9" i="33"/>
  <c r="AG9" i="33"/>
  <c r="AF9" i="33"/>
  <c r="AE9" i="33"/>
  <c r="AD9" i="33"/>
  <c r="AC9" i="33"/>
  <c r="AB9" i="33"/>
  <c r="AA9" i="33"/>
  <c r="K9" i="33"/>
  <c r="L9" i="33" s="1"/>
  <c r="AJ8" i="33"/>
  <c r="AI8" i="33"/>
  <c r="AH8" i="33"/>
  <c r="AG8" i="33"/>
  <c r="AF8" i="33"/>
  <c r="AE8" i="33"/>
  <c r="AD8" i="33"/>
  <c r="AC8" i="33"/>
  <c r="AB8" i="33"/>
  <c r="AA8" i="33"/>
  <c r="K8" i="33"/>
  <c r="L8" i="33" s="1"/>
  <c r="AJ7" i="33"/>
  <c r="AI7" i="33"/>
  <c r="AH7" i="33"/>
  <c r="AG7" i="33"/>
  <c r="AF7" i="33"/>
  <c r="AE7" i="33"/>
  <c r="AD7" i="33"/>
  <c r="AC7" i="33"/>
  <c r="AB7" i="33"/>
  <c r="AA7" i="33"/>
  <c r="K7" i="33"/>
  <c r="L7" i="33" s="1"/>
  <c r="AJ6" i="33"/>
  <c r="AI6" i="33"/>
  <c r="AH6" i="33"/>
  <c r="AG6" i="33"/>
  <c r="AF6" i="33"/>
  <c r="AE6" i="33"/>
  <c r="AD6" i="33"/>
  <c r="AC6" i="33"/>
  <c r="AB6" i="33"/>
  <c r="AA6" i="33"/>
  <c r="K6" i="33"/>
  <c r="L6" i="33" s="1"/>
  <c r="AJ5" i="33"/>
  <c r="AI5" i="33"/>
  <c r="AH5" i="33"/>
  <c r="AG5" i="33"/>
  <c r="AF5" i="33"/>
  <c r="AE5" i="33"/>
  <c r="AD5" i="33"/>
  <c r="AC5" i="33"/>
  <c r="AB5" i="33"/>
  <c r="AA5" i="33"/>
  <c r="K5" i="33"/>
  <c r="L5" i="33" s="1"/>
  <c r="AJ4" i="33"/>
  <c r="AI4" i="33"/>
  <c r="AH4" i="33"/>
  <c r="AG4" i="33"/>
  <c r="AF4" i="33"/>
  <c r="AE4" i="33"/>
  <c r="AD4" i="33"/>
  <c r="AC4" i="33"/>
  <c r="AB4" i="33"/>
  <c r="AA4" i="33"/>
  <c r="K4" i="33"/>
  <c r="L4" i="33" s="1"/>
  <c r="AJ3" i="33"/>
  <c r="AI3" i="33"/>
  <c r="AH3" i="33"/>
  <c r="AG3" i="33"/>
  <c r="AF3" i="33"/>
  <c r="AE3" i="33"/>
  <c r="AD3" i="33"/>
  <c r="AC3" i="33"/>
  <c r="AB3" i="33"/>
  <c r="AA3" i="33"/>
  <c r="K3" i="33"/>
  <c r="AJ15" i="32"/>
  <c r="AI15" i="32"/>
  <c r="AH15" i="32"/>
  <c r="AG15" i="32"/>
  <c r="AF15" i="32"/>
  <c r="AE15" i="32"/>
  <c r="AD15" i="32"/>
  <c r="AC15" i="32"/>
  <c r="AB15" i="32"/>
  <c r="AA15" i="32"/>
  <c r="K15" i="32"/>
  <c r="L15" i="32" s="1"/>
  <c r="AJ14" i="32"/>
  <c r="AI14" i="32"/>
  <c r="AH14" i="32"/>
  <c r="AG14" i="32"/>
  <c r="AF14" i="32"/>
  <c r="AE14" i="32"/>
  <c r="AD14" i="32"/>
  <c r="AC14" i="32"/>
  <c r="AB14" i="32"/>
  <c r="AA14" i="32"/>
  <c r="K14" i="32"/>
  <c r="L14" i="32" s="1"/>
  <c r="AJ13" i="32"/>
  <c r="AI13" i="32"/>
  <c r="AH13" i="32"/>
  <c r="AG13" i="32"/>
  <c r="AF13" i="32"/>
  <c r="AE13" i="32"/>
  <c r="AD13" i="32"/>
  <c r="AC13" i="32"/>
  <c r="AB13" i="32"/>
  <c r="AA13" i="32"/>
  <c r="K13" i="32"/>
  <c r="L13" i="32" s="1"/>
  <c r="AJ12" i="32"/>
  <c r="AI12" i="32"/>
  <c r="AH12" i="32"/>
  <c r="AG12" i="32"/>
  <c r="AF12" i="32"/>
  <c r="AE12" i="32"/>
  <c r="AD12" i="32"/>
  <c r="AC12" i="32"/>
  <c r="AB12" i="32"/>
  <c r="AA12" i="32"/>
  <c r="K12" i="32"/>
  <c r="L12" i="32" s="1"/>
  <c r="AJ11" i="32"/>
  <c r="AI11" i="32"/>
  <c r="AH11" i="32"/>
  <c r="AG11" i="32"/>
  <c r="AF11" i="32"/>
  <c r="AE11" i="32"/>
  <c r="AD11" i="32"/>
  <c r="AC11" i="32"/>
  <c r="AB11" i="32"/>
  <c r="AA11" i="32"/>
  <c r="K11" i="32"/>
  <c r="L11" i="32" s="1"/>
  <c r="AJ10" i="32"/>
  <c r="AI10" i="32"/>
  <c r="AH10" i="32"/>
  <c r="AG10" i="32"/>
  <c r="AF10" i="32"/>
  <c r="AE10" i="32"/>
  <c r="AD10" i="32"/>
  <c r="AC10" i="32"/>
  <c r="AB10" i="32"/>
  <c r="AA10" i="32"/>
  <c r="K10" i="32"/>
  <c r="L10" i="32" s="1"/>
  <c r="AJ9" i="32"/>
  <c r="AI9" i="32"/>
  <c r="AH9" i="32"/>
  <c r="AG9" i="32"/>
  <c r="AF9" i="32"/>
  <c r="AE9" i="32"/>
  <c r="AD9" i="32"/>
  <c r="AC9" i="32"/>
  <c r="AB9" i="32"/>
  <c r="AA9" i="32"/>
  <c r="K9" i="32"/>
  <c r="L9" i="32" s="1"/>
  <c r="AJ8" i="32"/>
  <c r="AI8" i="32"/>
  <c r="AH8" i="32"/>
  <c r="AG8" i="32"/>
  <c r="AF8" i="32"/>
  <c r="AE8" i="32"/>
  <c r="AD8" i="32"/>
  <c r="AC8" i="32"/>
  <c r="AB8" i="32"/>
  <c r="AA8" i="32"/>
  <c r="K8" i="32"/>
  <c r="L8" i="32" s="1"/>
  <c r="AJ7" i="32"/>
  <c r="AI7" i="32"/>
  <c r="AH7" i="32"/>
  <c r="AG7" i="32"/>
  <c r="AF7" i="32"/>
  <c r="AE7" i="32"/>
  <c r="AD7" i="32"/>
  <c r="AC7" i="32"/>
  <c r="AB7" i="32"/>
  <c r="AA7" i="32"/>
  <c r="K7" i="32"/>
  <c r="L7" i="32" s="1"/>
  <c r="AJ6" i="32"/>
  <c r="AI6" i="32"/>
  <c r="AH6" i="32"/>
  <c r="AG6" i="32"/>
  <c r="AF6" i="32"/>
  <c r="AE6" i="32"/>
  <c r="AD6" i="32"/>
  <c r="AC6" i="32"/>
  <c r="AB6" i="32"/>
  <c r="AA6" i="32"/>
  <c r="K6" i="32"/>
  <c r="L6" i="32" s="1"/>
  <c r="AJ5" i="32"/>
  <c r="AI5" i="32"/>
  <c r="AH5" i="32"/>
  <c r="AG5" i="32"/>
  <c r="AF5" i="32"/>
  <c r="AE5" i="32"/>
  <c r="AD5" i="32"/>
  <c r="AC5" i="32"/>
  <c r="AB5" i="32"/>
  <c r="AA5" i="32"/>
  <c r="K5" i="32"/>
  <c r="L5" i="32" s="1"/>
  <c r="AJ4" i="32"/>
  <c r="AI4" i="32"/>
  <c r="AH4" i="32"/>
  <c r="AG4" i="32"/>
  <c r="AF4" i="32"/>
  <c r="AE4" i="32"/>
  <c r="AD4" i="32"/>
  <c r="AC4" i="32"/>
  <c r="AB4" i="32"/>
  <c r="AA4" i="32"/>
  <c r="K4" i="32"/>
  <c r="L4" i="32" s="1"/>
  <c r="AJ3" i="32"/>
  <c r="AI3" i="32"/>
  <c r="AH3" i="32"/>
  <c r="AG3" i="32"/>
  <c r="AF3" i="32"/>
  <c r="AE3" i="32"/>
  <c r="AD3" i="32"/>
  <c r="AC3" i="32"/>
  <c r="AB3" i="32"/>
  <c r="AA3" i="32"/>
  <c r="K3" i="32"/>
  <c r="AJ34" i="2"/>
  <c r="AI34" i="2"/>
  <c r="AH34" i="2"/>
  <c r="AG34" i="2"/>
  <c r="AF34" i="2"/>
  <c r="AE34" i="2"/>
  <c r="AD34" i="2"/>
  <c r="AC34" i="2"/>
  <c r="AB34" i="2"/>
  <c r="AA34" i="2"/>
  <c r="K34" i="2"/>
  <c r="L34" i="2" s="1"/>
  <c r="AJ33" i="2"/>
  <c r="AI33" i="2"/>
  <c r="AH33" i="2"/>
  <c r="AG33" i="2"/>
  <c r="AF33" i="2"/>
  <c r="AE33" i="2"/>
  <c r="AD33" i="2"/>
  <c r="AC33" i="2"/>
  <c r="AB33" i="2"/>
  <c r="AA33" i="2"/>
  <c r="K33" i="2"/>
  <c r="L33" i="2" s="1"/>
  <c r="AJ32" i="2"/>
  <c r="AI32" i="2"/>
  <c r="AH32" i="2"/>
  <c r="AG32" i="2"/>
  <c r="AF32" i="2"/>
  <c r="AE32" i="2"/>
  <c r="AD32" i="2"/>
  <c r="AC32" i="2"/>
  <c r="AB32" i="2"/>
  <c r="AA32" i="2"/>
  <c r="K32" i="2"/>
  <c r="L32" i="2" s="1"/>
  <c r="AJ31" i="2"/>
  <c r="AI31" i="2"/>
  <c r="AH31" i="2"/>
  <c r="AG31" i="2"/>
  <c r="AF31" i="2"/>
  <c r="AE31" i="2"/>
  <c r="AD31" i="2"/>
  <c r="AC31" i="2"/>
  <c r="AB31" i="2"/>
  <c r="AA31" i="2"/>
  <c r="K31" i="2"/>
  <c r="L31" i="2" s="1"/>
  <c r="AJ30" i="2"/>
  <c r="AI30" i="2"/>
  <c r="AH30" i="2"/>
  <c r="AG30" i="2"/>
  <c r="AF30" i="2"/>
  <c r="AE30" i="2"/>
  <c r="AD30" i="2"/>
  <c r="AC30" i="2"/>
  <c r="AB30" i="2"/>
  <c r="AA30" i="2"/>
  <c r="K30" i="2"/>
  <c r="L30" i="2" s="1"/>
  <c r="AJ29" i="2"/>
  <c r="AI29" i="2"/>
  <c r="AH29" i="2"/>
  <c r="AG29" i="2"/>
  <c r="AF29" i="2"/>
  <c r="AE29" i="2"/>
  <c r="AD29" i="2"/>
  <c r="AC29" i="2"/>
  <c r="AB29" i="2"/>
  <c r="AA29" i="2"/>
  <c r="K29" i="2"/>
  <c r="L29" i="2" s="1"/>
  <c r="AJ28" i="2"/>
  <c r="AI28" i="2"/>
  <c r="AH28" i="2"/>
  <c r="AG28" i="2"/>
  <c r="AF28" i="2"/>
  <c r="AE28" i="2"/>
  <c r="AD28" i="2"/>
  <c r="AC28" i="2"/>
  <c r="AB28" i="2"/>
  <c r="AA28" i="2"/>
  <c r="K28" i="2"/>
  <c r="L28" i="2" s="1"/>
  <c r="AJ27" i="2"/>
  <c r="AI27" i="2"/>
  <c r="AH27" i="2"/>
  <c r="AG27" i="2"/>
  <c r="AF27" i="2"/>
  <c r="AE27" i="2"/>
  <c r="AD27" i="2"/>
  <c r="AC27" i="2"/>
  <c r="AB27" i="2"/>
  <c r="AA27" i="2"/>
  <c r="K27" i="2"/>
  <c r="L27" i="2" s="1"/>
  <c r="AJ26" i="2"/>
  <c r="AI26" i="2"/>
  <c r="AH26" i="2"/>
  <c r="AG26" i="2"/>
  <c r="AF26" i="2"/>
  <c r="AE26" i="2"/>
  <c r="AD26" i="2"/>
  <c r="AC26" i="2"/>
  <c r="AB26" i="2"/>
  <c r="AA26" i="2"/>
  <c r="K26" i="2"/>
  <c r="L26" i="2" s="1"/>
  <c r="AJ25" i="2"/>
  <c r="AI25" i="2"/>
  <c r="AH25" i="2"/>
  <c r="AG25" i="2"/>
  <c r="AF25" i="2"/>
  <c r="AE25" i="2"/>
  <c r="AD25" i="2"/>
  <c r="AC25" i="2"/>
  <c r="AB25" i="2"/>
  <c r="AA25" i="2"/>
  <c r="K25" i="2"/>
  <c r="L25" i="2" s="1"/>
  <c r="AJ24" i="2"/>
  <c r="AI24" i="2"/>
  <c r="AH24" i="2"/>
  <c r="AG24" i="2"/>
  <c r="AF24" i="2"/>
  <c r="AE24" i="2"/>
  <c r="AD24" i="2"/>
  <c r="AC24" i="2"/>
  <c r="AB24" i="2"/>
  <c r="AA24" i="2"/>
  <c r="K24" i="2"/>
  <c r="L24" i="2" s="1"/>
  <c r="AJ23" i="2"/>
  <c r="AI23" i="2"/>
  <c r="AH23" i="2"/>
  <c r="AG23" i="2"/>
  <c r="AF23" i="2"/>
  <c r="AE23" i="2"/>
  <c r="AD23" i="2"/>
  <c r="AC23" i="2"/>
  <c r="AB23" i="2"/>
  <c r="AA23" i="2"/>
  <c r="K23" i="2"/>
  <c r="AJ35" i="31"/>
  <c r="AI35" i="31"/>
  <c r="AH35" i="31"/>
  <c r="AG35" i="31"/>
  <c r="AF35" i="31"/>
  <c r="AE35" i="31"/>
  <c r="AD35" i="31"/>
  <c r="AC35" i="31"/>
  <c r="AB35" i="31"/>
  <c r="AA35" i="31"/>
  <c r="K35" i="31"/>
  <c r="L35" i="31" s="1"/>
  <c r="AJ34" i="31"/>
  <c r="AI34" i="31"/>
  <c r="AH34" i="31"/>
  <c r="AG34" i="31"/>
  <c r="AF34" i="31"/>
  <c r="AE34" i="31"/>
  <c r="AD34" i="31"/>
  <c r="AC34" i="31"/>
  <c r="AB34" i="31"/>
  <c r="AA34" i="31"/>
  <c r="K34" i="31"/>
  <c r="L34" i="31" s="1"/>
  <c r="AJ33" i="31"/>
  <c r="AI33" i="31"/>
  <c r="AH33" i="31"/>
  <c r="AG33" i="31"/>
  <c r="AF33" i="31"/>
  <c r="AE33" i="31"/>
  <c r="AD33" i="31"/>
  <c r="AC33" i="31"/>
  <c r="AB33" i="31"/>
  <c r="AA33" i="31"/>
  <c r="K33" i="31"/>
  <c r="L33" i="31" s="1"/>
  <c r="AJ32" i="31"/>
  <c r="AI32" i="31"/>
  <c r="AH32" i="31"/>
  <c r="AG32" i="31"/>
  <c r="AF32" i="31"/>
  <c r="AE32" i="31"/>
  <c r="AD32" i="31"/>
  <c r="AC32" i="31"/>
  <c r="AB32" i="31"/>
  <c r="AA32" i="31"/>
  <c r="K32" i="31"/>
  <c r="L32" i="31" s="1"/>
  <c r="AJ31" i="31"/>
  <c r="AI31" i="31"/>
  <c r="AH31" i="31"/>
  <c r="AG31" i="31"/>
  <c r="AF31" i="31"/>
  <c r="AE31" i="31"/>
  <c r="AD31" i="31"/>
  <c r="AC31" i="31"/>
  <c r="AB31" i="31"/>
  <c r="AA31" i="31"/>
  <c r="K31" i="31"/>
  <c r="L31" i="31" s="1"/>
  <c r="AJ30" i="31"/>
  <c r="AI30" i="31"/>
  <c r="AH30" i="31"/>
  <c r="AG30" i="31"/>
  <c r="AF30" i="31"/>
  <c r="AE30" i="31"/>
  <c r="AD30" i="31"/>
  <c r="AC30" i="31"/>
  <c r="AB30" i="31"/>
  <c r="AA30" i="31"/>
  <c r="K30" i="31"/>
  <c r="L30" i="31" s="1"/>
  <c r="AJ29" i="31"/>
  <c r="AI29" i="31"/>
  <c r="AH29" i="31"/>
  <c r="AG29" i="31"/>
  <c r="AF29" i="31"/>
  <c r="AE29" i="31"/>
  <c r="AD29" i="31"/>
  <c r="AC29" i="31"/>
  <c r="AB29" i="31"/>
  <c r="AA29" i="31"/>
  <c r="K29" i="31"/>
  <c r="L29" i="31" s="1"/>
  <c r="AJ28" i="31"/>
  <c r="AI28" i="31"/>
  <c r="AH28" i="31"/>
  <c r="AG28" i="31"/>
  <c r="AF28" i="31"/>
  <c r="AE28" i="31"/>
  <c r="AD28" i="31"/>
  <c r="AC28" i="31"/>
  <c r="AB28" i="31"/>
  <c r="AA28" i="31"/>
  <c r="K28" i="31"/>
  <c r="L28" i="31" s="1"/>
  <c r="AJ27" i="31"/>
  <c r="AI27" i="31"/>
  <c r="AH27" i="31"/>
  <c r="AG27" i="31"/>
  <c r="AF27" i="31"/>
  <c r="AE27" i="31"/>
  <c r="AD27" i="31"/>
  <c r="AC27" i="31"/>
  <c r="AB27" i="31"/>
  <c r="AA27" i="31"/>
  <c r="K27" i="31"/>
  <c r="L27" i="31" s="1"/>
  <c r="AJ26" i="31"/>
  <c r="AI26" i="31"/>
  <c r="AH26" i="31"/>
  <c r="AG26" i="31"/>
  <c r="AF26" i="31"/>
  <c r="AE26" i="31"/>
  <c r="AD26" i="31"/>
  <c r="AC26" i="31"/>
  <c r="AB26" i="31"/>
  <c r="AA26" i="31"/>
  <c r="K26" i="31"/>
  <c r="L26" i="31" s="1"/>
  <c r="AJ25" i="31"/>
  <c r="AI25" i="31"/>
  <c r="AH25" i="31"/>
  <c r="AG25" i="31"/>
  <c r="AF25" i="31"/>
  <c r="AE25" i="31"/>
  <c r="AD25" i="31"/>
  <c r="AC25" i="31"/>
  <c r="AB25" i="31"/>
  <c r="AA25" i="31"/>
  <c r="K25" i="31"/>
  <c r="L25" i="31" s="1"/>
  <c r="AJ24" i="31"/>
  <c r="AI24" i="31"/>
  <c r="AH24" i="31"/>
  <c r="AG24" i="31"/>
  <c r="AF24" i="31"/>
  <c r="AE24" i="31"/>
  <c r="AD24" i="31"/>
  <c r="AC24" i="31"/>
  <c r="AB24" i="31"/>
  <c r="AA24" i="31"/>
  <c r="K24" i="31"/>
  <c r="L3" i="33" l="1"/>
  <c r="L47" i="33" s="1"/>
  <c r="K47" i="33"/>
  <c r="L11" i="5"/>
  <c r="L39" i="5" s="1"/>
  <c r="K39" i="5"/>
  <c r="L3" i="32"/>
  <c r="L18" i="32" s="1"/>
  <c r="K18" i="32"/>
  <c r="L24" i="31"/>
  <c r="L68" i="31" s="1"/>
  <c r="K68" i="31"/>
  <c r="L24" i="5"/>
  <c r="L41" i="5" s="1"/>
  <c r="K41" i="5"/>
  <c r="L23" i="2"/>
  <c r="L47" i="2" s="1"/>
  <c r="K47" i="2"/>
  <c r="L19" i="33"/>
  <c r="L49" i="33" s="1"/>
  <c r="K49" i="33"/>
  <c r="L31" i="33"/>
  <c r="L51" i="33" s="1"/>
  <c r="K51" i="33"/>
  <c r="AJ10" i="31"/>
  <c r="AI10" i="31"/>
  <c r="AH10" i="31"/>
  <c r="AG10" i="31"/>
  <c r="AF10" i="31"/>
  <c r="AE10" i="31"/>
  <c r="AD10" i="31"/>
  <c r="AC10" i="31"/>
  <c r="AB10" i="31"/>
  <c r="AA10" i="31"/>
  <c r="K10" i="31"/>
  <c r="L10" i="31" s="1"/>
  <c r="AJ9" i="31"/>
  <c r="AI9" i="31"/>
  <c r="AH9" i="31"/>
  <c r="AG9" i="31"/>
  <c r="AF9" i="31"/>
  <c r="AE9" i="31"/>
  <c r="AD9" i="31"/>
  <c r="AC9" i="31"/>
  <c r="AB9" i="31"/>
  <c r="AA9" i="31"/>
  <c r="K9" i="31"/>
  <c r="L9" i="31" s="1"/>
  <c r="AJ8" i="31"/>
  <c r="AI8" i="31"/>
  <c r="AH8" i="31"/>
  <c r="AG8" i="31"/>
  <c r="AF8" i="31"/>
  <c r="AE8" i="31"/>
  <c r="AD8" i="31"/>
  <c r="AC8" i="31"/>
  <c r="AB8" i="31"/>
  <c r="AA8" i="31"/>
  <c r="K8" i="31"/>
  <c r="L8" i="31" s="1"/>
  <c r="AJ7" i="31"/>
  <c r="AI7" i="31"/>
  <c r="AH7" i="31"/>
  <c r="AG7" i="31"/>
  <c r="AF7" i="31"/>
  <c r="AE7" i="31"/>
  <c r="AD7" i="31"/>
  <c r="AC7" i="31"/>
  <c r="AB7" i="31"/>
  <c r="AA7" i="31"/>
  <c r="K7" i="31"/>
  <c r="L7" i="31" s="1"/>
  <c r="AJ6" i="31"/>
  <c r="AI6" i="31"/>
  <c r="AH6" i="31"/>
  <c r="AG6" i="31"/>
  <c r="AF6" i="31"/>
  <c r="AE6" i="31"/>
  <c r="AD6" i="31"/>
  <c r="AC6" i="31"/>
  <c r="AB6" i="31"/>
  <c r="AA6" i="31"/>
  <c r="K6" i="31"/>
  <c r="L6" i="31" s="1"/>
  <c r="AJ5" i="31"/>
  <c r="AI5" i="31"/>
  <c r="AH5" i="31"/>
  <c r="AG5" i="31"/>
  <c r="AF5" i="31"/>
  <c r="AE5" i="31"/>
  <c r="AD5" i="31"/>
  <c r="AC5" i="31"/>
  <c r="AB5" i="31"/>
  <c r="AA5" i="31"/>
  <c r="K5" i="31"/>
  <c r="L5" i="31" s="1"/>
  <c r="AJ4" i="31"/>
  <c r="AI4" i="31"/>
  <c r="AH4" i="31"/>
  <c r="AG4" i="31"/>
  <c r="AF4" i="31"/>
  <c r="AE4" i="31"/>
  <c r="AD4" i="31"/>
  <c r="AC4" i="31"/>
  <c r="AB4" i="31"/>
  <c r="AA4" i="31"/>
  <c r="K4" i="31"/>
  <c r="L4" i="31" s="1"/>
  <c r="AJ3" i="31"/>
  <c r="AI3" i="31"/>
  <c r="AH3" i="31"/>
  <c r="AG3" i="31"/>
  <c r="AF3" i="31"/>
  <c r="AE3" i="31"/>
  <c r="AD3" i="31"/>
  <c r="AC3" i="31"/>
  <c r="AB3" i="31"/>
  <c r="AA3" i="31"/>
  <c r="K3" i="31"/>
  <c r="K64" i="31" l="1"/>
  <c r="L3" i="31"/>
  <c r="L64" i="31" s="1"/>
  <c r="AJ44" i="16"/>
  <c r="AI44" i="16"/>
  <c r="AH44" i="16"/>
  <c r="AG44" i="16"/>
  <c r="AF44" i="16"/>
  <c r="AE44" i="16"/>
  <c r="AD44" i="16"/>
  <c r="AC44" i="16"/>
  <c r="AB44" i="16"/>
  <c r="AA44" i="16"/>
  <c r="K44" i="16"/>
  <c r="L44" i="16" s="1"/>
  <c r="AJ43" i="16"/>
  <c r="AI43" i="16"/>
  <c r="AH43" i="16"/>
  <c r="AG43" i="16"/>
  <c r="AF43" i="16"/>
  <c r="AE43" i="16"/>
  <c r="AD43" i="16"/>
  <c r="AC43" i="16"/>
  <c r="AB43" i="16"/>
  <c r="AA43" i="16"/>
  <c r="K43" i="16"/>
  <c r="L43" i="16" s="1"/>
  <c r="AJ42" i="16"/>
  <c r="AI42" i="16"/>
  <c r="AH42" i="16"/>
  <c r="AG42" i="16"/>
  <c r="AF42" i="16"/>
  <c r="AE42" i="16"/>
  <c r="AD42" i="16"/>
  <c r="AC42" i="16"/>
  <c r="AB42" i="16"/>
  <c r="AA42" i="16"/>
  <c r="K42" i="16"/>
  <c r="L42" i="16" s="1"/>
  <c r="AJ41" i="16"/>
  <c r="AI41" i="16"/>
  <c r="AH41" i="16"/>
  <c r="AG41" i="16"/>
  <c r="AF41" i="16"/>
  <c r="AE41" i="16"/>
  <c r="AD41" i="16"/>
  <c r="AC41" i="16"/>
  <c r="AB41" i="16"/>
  <c r="AA41" i="16"/>
  <c r="K41" i="16"/>
  <c r="L41" i="16" s="1"/>
  <c r="AJ40" i="16"/>
  <c r="AI40" i="16"/>
  <c r="AH40" i="16"/>
  <c r="AG40" i="16"/>
  <c r="AF40" i="16"/>
  <c r="AE40" i="16"/>
  <c r="AD40" i="16"/>
  <c r="AC40" i="16"/>
  <c r="AB40" i="16"/>
  <c r="AA40" i="16"/>
  <c r="K40" i="16"/>
  <c r="L40" i="16" s="1"/>
  <c r="AJ39" i="16"/>
  <c r="AI39" i="16"/>
  <c r="AH39" i="16"/>
  <c r="AG39" i="16"/>
  <c r="AF39" i="16"/>
  <c r="AE39" i="16"/>
  <c r="AD39" i="16"/>
  <c r="AC39" i="16"/>
  <c r="AB39" i="16"/>
  <c r="AA39" i="16"/>
  <c r="K39" i="16"/>
  <c r="L39" i="16" s="1"/>
  <c r="AJ38" i="16"/>
  <c r="AI38" i="16"/>
  <c r="AH38" i="16"/>
  <c r="AG38" i="16"/>
  <c r="AF38" i="16"/>
  <c r="AE38" i="16"/>
  <c r="AD38" i="16"/>
  <c r="AC38" i="16"/>
  <c r="AB38" i="16"/>
  <c r="AA38" i="16"/>
  <c r="K38" i="16"/>
  <c r="L38" i="16" s="1"/>
  <c r="AJ37" i="16"/>
  <c r="AI37" i="16"/>
  <c r="AH37" i="16"/>
  <c r="AG37" i="16"/>
  <c r="AF37" i="16"/>
  <c r="AE37" i="16"/>
  <c r="AD37" i="16"/>
  <c r="AC37" i="16"/>
  <c r="AB37" i="16"/>
  <c r="AA37" i="16"/>
  <c r="K37" i="16"/>
  <c r="L37" i="16" s="1"/>
  <c r="AJ36" i="16"/>
  <c r="AI36" i="16"/>
  <c r="AH36" i="16"/>
  <c r="AG36" i="16"/>
  <c r="AF36" i="16"/>
  <c r="AE36" i="16"/>
  <c r="AD36" i="16"/>
  <c r="AC36" i="16"/>
  <c r="AB36" i="16"/>
  <c r="AA36" i="16"/>
  <c r="K36" i="16"/>
  <c r="L36" i="16" s="1"/>
  <c r="AJ35" i="16"/>
  <c r="AI35" i="16"/>
  <c r="AH35" i="16"/>
  <c r="AG35" i="16"/>
  <c r="AF35" i="16"/>
  <c r="AE35" i="16"/>
  <c r="AD35" i="16"/>
  <c r="AC35" i="16"/>
  <c r="AB35" i="16"/>
  <c r="AA35" i="16"/>
  <c r="K35" i="16"/>
  <c r="L35" i="16" s="1"/>
  <c r="AJ34" i="16"/>
  <c r="AI34" i="16"/>
  <c r="AH34" i="16"/>
  <c r="AG34" i="16"/>
  <c r="AF34" i="16"/>
  <c r="AE34" i="16"/>
  <c r="AD34" i="16"/>
  <c r="AC34" i="16"/>
  <c r="AB34" i="16"/>
  <c r="AA34" i="16"/>
  <c r="K34" i="16"/>
  <c r="L34" i="16" s="1"/>
  <c r="AJ33" i="16"/>
  <c r="AI33" i="16"/>
  <c r="AH33" i="16"/>
  <c r="AG33" i="16"/>
  <c r="AF33" i="16"/>
  <c r="AE33" i="16"/>
  <c r="AD33" i="16"/>
  <c r="AC33" i="16"/>
  <c r="AB33" i="16"/>
  <c r="AA33" i="16"/>
  <c r="K33" i="16"/>
  <c r="K64" i="16" l="1"/>
  <c r="L33" i="16"/>
  <c r="L64" i="16" s="1"/>
  <c r="AH37" i="30"/>
  <c r="AG37" i="30"/>
  <c r="AF37" i="30"/>
  <c r="AE37" i="30"/>
  <c r="AD37" i="30"/>
  <c r="AC37" i="30"/>
  <c r="AB37" i="30"/>
  <c r="AA37" i="30"/>
  <c r="Z37" i="30"/>
  <c r="Y37" i="30"/>
  <c r="I37" i="30"/>
  <c r="J37" i="30" s="1"/>
  <c r="AH36" i="30"/>
  <c r="AG36" i="30"/>
  <c r="AF36" i="30"/>
  <c r="AE36" i="30"/>
  <c r="AD36" i="30"/>
  <c r="AC36" i="30"/>
  <c r="AB36" i="30"/>
  <c r="AA36" i="30"/>
  <c r="Z36" i="30"/>
  <c r="Y36" i="30"/>
  <c r="I36" i="30"/>
  <c r="J36" i="30" s="1"/>
  <c r="AH35" i="30"/>
  <c r="AG35" i="30"/>
  <c r="AF35" i="30"/>
  <c r="AE35" i="30"/>
  <c r="AD35" i="30"/>
  <c r="AC35" i="30"/>
  <c r="AB35" i="30"/>
  <c r="AA35" i="30"/>
  <c r="Z35" i="30"/>
  <c r="Y35" i="30"/>
  <c r="I35" i="30"/>
  <c r="J35" i="30" s="1"/>
  <c r="AH34" i="30"/>
  <c r="AG34" i="30"/>
  <c r="AF34" i="30"/>
  <c r="AE34" i="30"/>
  <c r="AD34" i="30"/>
  <c r="AC34" i="30"/>
  <c r="AB34" i="30"/>
  <c r="AA34" i="30"/>
  <c r="Z34" i="30"/>
  <c r="Y34" i="30"/>
  <c r="I34" i="30"/>
  <c r="J34" i="30" s="1"/>
  <c r="AH33" i="30"/>
  <c r="AG33" i="30"/>
  <c r="AF33" i="30"/>
  <c r="AE33" i="30"/>
  <c r="AD33" i="30"/>
  <c r="AC33" i="30"/>
  <c r="AB33" i="30"/>
  <c r="AA33" i="30"/>
  <c r="Z33" i="30"/>
  <c r="Y33" i="30"/>
  <c r="I33" i="30"/>
  <c r="J33" i="30" s="1"/>
  <c r="AH32" i="30"/>
  <c r="AG32" i="30"/>
  <c r="AF32" i="30"/>
  <c r="AE32" i="30"/>
  <c r="AD32" i="30"/>
  <c r="AC32" i="30"/>
  <c r="AB32" i="30"/>
  <c r="AA32" i="30"/>
  <c r="Z32" i="30"/>
  <c r="Y32" i="30"/>
  <c r="I32" i="30"/>
  <c r="J32" i="30" s="1"/>
  <c r="AH31" i="30"/>
  <c r="AG31" i="30"/>
  <c r="AF31" i="30"/>
  <c r="AE31" i="30"/>
  <c r="AD31" i="30"/>
  <c r="AC31" i="30"/>
  <c r="AB31" i="30"/>
  <c r="AA31" i="30"/>
  <c r="Z31" i="30"/>
  <c r="Y31" i="30"/>
  <c r="I31" i="30"/>
  <c r="J31" i="30" s="1"/>
  <c r="AH30" i="30"/>
  <c r="AG30" i="30"/>
  <c r="AF30" i="30"/>
  <c r="AE30" i="30"/>
  <c r="AD30" i="30"/>
  <c r="AC30" i="30"/>
  <c r="AB30" i="30"/>
  <c r="AA30" i="30"/>
  <c r="Z30" i="30"/>
  <c r="Y30" i="30"/>
  <c r="I30" i="30"/>
  <c r="J30" i="30" s="1"/>
  <c r="AH29" i="30"/>
  <c r="AG29" i="30"/>
  <c r="AF29" i="30"/>
  <c r="AE29" i="30"/>
  <c r="AD29" i="30"/>
  <c r="AC29" i="30"/>
  <c r="AB29" i="30"/>
  <c r="AA29" i="30"/>
  <c r="Z29" i="30"/>
  <c r="Y29" i="30"/>
  <c r="I29" i="30"/>
  <c r="J29" i="30" s="1"/>
  <c r="AH28" i="30"/>
  <c r="AG28" i="30"/>
  <c r="AF28" i="30"/>
  <c r="AE28" i="30"/>
  <c r="AD28" i="30"/>
  <c r="AC28" i="30"/>
  <c r="AB28" i="30"/>
  <c r="AA28" i="30"/>
  <c r="Z28" i="30"/>
  <c r="Y28" i="30"/>
  <c r="I28" i="30"/>
  <c r="J28" i="30" s="1"/>
  <c r="AH27" i="30"/>
  <c r="AG27" i="30"/>
  <c r="AF27" i="30"/>
  <c r="AE27" i="30"/>
  <c r="AD27" i="30"/>
  <c r="AC27" i="30"/>
  <c r="AB27" i="30"/>
  <c r="AA27" i="30"/>
  <c r="Z27" i="30"/>
  <c r="Y27" i="30"/>
  <c r="I27" i="30"/>
  <c r="J27" i="30" s="1"/>
  <c r="AH26" i="30"/>
  <c r="AG26" i="30"/>
  <c r="AF26" i="30"/>
  <c r="AE26" i="30"/>
  <c r="AD26" i="30"/>
  <c r="AC26" i="30"/>
  <c r="AB26" i="30"/>
  <c r="AA26" i="30"/>
  <c r="Z26" i="30"/>
  <c r="Y26" i="30"/>
  <c r="I26" i="30"/>
  <c r="J26" i="30" l="1"/>
  <c r="J44" i="30" s="1"/>
  <c r="I44" i="30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6" i="29"/>
  <c r="H6" i="29" s="1"/>
  <c r="G5" i="29"/>
  <c r="H5" i="29" s="1"/>
  <c r="G4" i="29"/>
  <c r="H4" i="29" s="1"/>
  <c r="G3" i="29"/>
  <c r="H3" i="29" s="1"/>
  <c r="G8" i="28"/>
  <c r="H8" i="28" s="1"/>
  <c r="G7" i="28"/>
  <c r="H7" i="28" s="1"/>
  <c r="G6" i="28"/>
  <c r="H6" i="28" s="1"/>
  <c r="G5" i="28"/>
  <c r="H5" i="28" s="1"/>
  <c r="G4" i="28"/>
  <c r="H4" i="28" s="1"/>
  <c r="AI6" i="1"/>
  <c r="AJ6" i="1"/>
  <c r="AK6" i="1"/>
  <c r="AL6" i="1"/>
  <c r="AM6" i="1"/>
  <c r="AN6" i="1"/>
  <c r="AO6" i="1"/>
  <c r="I21" i="27"/>
  <c r="G21" i="27"/>
  <c r="H21" i="27" s="1"/>
  <c r="G20" i="27"/>
  <c r="H20" i="27" s="1"/>
  <c r="G19" i="27"/>
  <c r="H19" i="27" s="1"/>
  <c r="I18" i="27"/>
  <c r="G18" i="27"/>
  <c r="H18" i="27" s="1"/>
  <c r="I17" i="27"/>
  <c r="G17" i="27"/>
  <c r="H17" i="27" s="1"/>
  <c r="G16" i="27"/>
  <c r="I15" i="27"/>
  <c r="G15" i="27"/>
  <c r="I14" i="27"/>
  <c r="G14" i="27"/>
  <c r="I13" i="27"/>
  <c r="G13" i="27"/>
  <c r="G12" i="27"/>
  <c r="G11" i="27"/>
  <c r="I10" i="27"/>
  <c r="G10" i="27"/>
  <c r="G8" i="27"/>
  <c r="H8" i="27" s="1"/>
  <c r="I7" i="27"/>
  <c r="G7" i="27"/>
  <c r="H7" i="27" s="1"/>
  <c r="I6" i="27"/>
  <c r="G6" i="27"/>
  <c r="H6" i="27" s="1"/>
  <c r="G5" i="27"/>
  <c r="H5" i="27" s="1"/>
  <c r="G4" i="27"/>
  <c r="H4" i="27" s="1"/>
  <c r="I3" i="27"/>
  <c r="G3" i="27"/>
  <c r="H3" i="27" s="1"/>
  <c r="G10" i="26"/>
  <c r="H10" i="26" s="1"/>
  <c r="D9" i="26"/>
  <c r="G9" i="26" s="1"/>
  <c r="H9" i="26" s="1"/>
  <c r="D8" i="26"/>
  <c r="G8" i="26" s="1"/>
  <c r="H8" i="26" s="1"/>
  <c r="D7" i="26"/>
  <c r="G7" i="26" s="1"/>
  <c r="H7" i="26" s="1"/>
  <c r="D6" i="26"/>
  <c r="G6" i="26" s="1"/>
  <c r="H6" i="26" s="1"/>
  <c r="D5" i="26"/>
  <c r="G5" i="26" s="1"/>
  <c r="H5" i="26" s="1"/>
  <c r="D4" i="26"/>
  <c r="G4" i="26" s="1"/>
  <c r="H4" i="26" s="1"/>
  <c r="G3" i="26"/>
  <c r="H3" i="26" s="1"/>
  <c r="AF12" i="25"/>
  <c r="AE12" i="25"/>
  <c r="AD12" i="25"/>
  <c r="AC12" i="25"/>
  <c r="AB12" i="25"/>
  <c r="AA12" i="25"/>
  <c r="Z12" i="25"/>
  <c r="Y12" i="25"/>
  <c r="X12" i="25"/>
  <c r="W12" i="25"/>
  <c r="D12" i="25"/>
  <c r="G12" i="25" s="1"/>
  <c r="H12" i="25" s="1"/>
  <c r="AF11" i="25"/>
  <c r="AE11" i="25"/>
  <c r="AD11" i="25"/>
  <c r="AC11" i="25"/>
  <c r="AB11" i="25"/>
  <c r="AA11" i="25"/>
  <c r="Z11" i="25"/>
  <c r="Y11" i="25"/>
  <c r="X11" i="25"/>
  <c r="W11" i="25"/>
  <c r="D11" i="25"/>
  <c r="G11" i="25" s="1"/>
  <c r="H11" i="25" s="1"/>
  <c r="AF10" i="25"/>
  <c r="AE10" i="25"/>
  <c r="AD10" i="25"/>
  <c r="AC10" i="25"/>
  <c r="AB10" i="25"/>
  <c r="AA10" i="25"/>
  <c r="Z10" i="25"/>
  <c r="Y10" i="25"/>
  <c r="X10" i="25"/>
  <c r="W10" i="25"/>
  <c r="D10" i="25"/>
  <c r="G10" i="25" s="1"/>
  <c r="H10" i="25" s="1"/>
  <c r="AF9" i="25"/>
  <c r="AE9" i="25"/>
  <c r="AD9" i="25"/>
  <c r="AC9" i="25"/>
  <c r="AB9" i="25"/>
  <c r="AA9" i="25"/>
  <c r="Z9" i="25"/>
  <c r="Y9" i="25"/>
  <c r="X9" i="25"/>
  <c r="W9" i="25"/>
  <c r="D9" i="25"/>
  <c r="G9" i="25" s="1"/>
  <c r="H9" i="25" s="1"/>
  <c r="AF8" i="25"/>
  <c r="AE8" i="25"/>
  <c r="AD8" i="25"/>
  <c r="AC8" i="25"/>
  <c r="AB8" i="25"/>
  <c r="AA8" i="25"/>
  <c r="Z8" i="25"/>
  <c r="Y8" i="25"/>
  <c r="X8" i="25"/>
  <c r="W8" i="25"/>
  <c r="D8" i="25"/>
  <c r="G8" i="25" s="1"/>
  <c r="H8" i="25" s="1"/>
  <c r="AF7" i="25"/>
  <c r="AE7" i="25"/>
  <c r="AD7" i="25"/>
  <c r="AC7" i="25"/>
  <c r="AB7" i="25"/>
  <c r="AA7" i="25"/>
  <c r="Z7" i="25"/>
  <c r="Y7" i="25"/>
  <c r="X7" i="25"/>
  <c r="W7" i="25"/>
  <c r="D7" i="25"/>
  <c r="G7" i="25" s="1"/>
  <c r="H7" i="25" s="1"/>
  <c r="AF6" i="25"/>
  <c r="AE6" i="25"/>
  <c r="AD6" i="25"/>
  <c r="AC6" i="25"/>
  <c r="AB6" i="25"/>
  <c r="AA6" i="25"/>
  <c r="Z6" i="25"/>
  <c r="Y6" i="25"/>
  <c r="X6" i="25"/>
  <c r="W6" i="25"/>
  <c r="D6" i="25"/>
  <c r="G6" i="25" s="1"/>
  <c r="H6" i="25" s="1"/>
  <c r="AE5" i="25"/>
  <c r="AD5" i="25"/>
  <c r="AC5" i="25"/>
  <c r="AB5" i="25"/>
  <c r="AA5" i="25"/>
  <c r="Z5" i="25"/>
  <c r="Y5" i="25"/>
  <c r="X5" i="25"/>
  <c r="W5" i="25"/>
  <c r="D5" i="25"/>
  <c r="G5" i="25" s="1"/>
  <c r="H5" i="25" s="1"/>
  <c r="AF4" i="25"/>
  <c r="AE4" i="25"/>
  <c r="AD4" i="25"/>
  <c r="AC4" i="25"/>
  <c r="AB4" i="25"/>
  <c r="AA4" i="25"/>
  <c r="Z4" i="25"/>
  <c r="Y4" i="25"/>
  <c r="X4" i="25"/>
  <c r="W4" i="25"/>
  <c r="D4" i="25"/>
  <c r="G4" i="25" s="1"/>
  <c r="AF3" i="25"/>
  <c r="AE3" i="25"/>
  <c r="AD3" i="25"/>
  <c r="AC3" i="25"/>
  <c r="AB3" i="25"/>
  <c r="AA3" i="25"/>
  <c r="Z3" i="25"/>
  <c r="Y3" i="25"/>
  <c r="X3" i="25"/>
  <c r="W3" i="25"/>
  <c r="D3" i="25"/>
  <c r="H4" i="25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J11" i="24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5" i="23"/>
  <c r="H5" i="23" s="1"/>
  <c r="G4" i="23"/>
  <c r="H4" i="23" s="1"/>
  <c r="G3" i="23"/>
  <c r="H3" i="23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G5" i="22"/>
  <c r="H5" i="22" s="1"/>
  <c r="G4" i="22"/>
  <c r="H4" i="22" s="1"/>
  <c r="G3" i="22"/>
  <c r="H3" i="22" s="1"/>
  <c r="AJ15" i="21"/>
  <c r="AI15" i="21"/>
  <c r="AH15" i="21"/>
  <c r="AG15" i="21"/>
  <c r="AF15" i="21"/>
  <c r="AE15" i="21"/>
  <c r="AD15" i="21"/>
  <c r="AC15" i="21"/>
  <c r="AB15" i="21"/>
  <c r="AA15" i="21"/>
  <c r="K15" i="21"/>
  <c r="L15" i="21" s="1"/>
  <c r="AJ14" i="21"/>
  <c r="AI14" i="21"/>
  <c r="AH14" i="21"/>
  <c r="AG14" i="21"/>
  <c r="AF14" i="21"/>
  <c r="AE14" i="21"/>
  <c r="AD14" i="21"/>
  <c r="AC14" i="21"/>
  <c r="AB14" i="21"/>
  <c r="AA14" i="21"/>
  <c r="K14" i="21"/>
  <c r="L14" i="21" s="1"/>
  <c r="AJ13" i="21"/>
  <c r="AI13" i="21"/>
  <c r="AH13" i="21"/>
  <c r="AG13" i="21"/>
  <c r="AF13" i="21"/>
  <c r="AE13" i="21"/>
  <c r="AD13" i="21"/>
  <c r="AC13" i="21"/>
  <c r="AB13" i="21"/>
  <c r="AA13" i="21"/>
  <c r="K13" i="21"/>
  <c r="L13" i="21" s="1"/>
  <c r="AJ12" i="21"/>
  <c r="AI12" i="21"/>
  <c r="AH12" i="21"/>
  <c r="AG12" i="21"/>
  <c r="AF12" i="21"/>
  <c r="AE12" i="21"/>
  <c r="AD12" i="21"/>
  <c r="AC12" i="21"/>
  <c r="AB12" i="21"/>
  <c r="AA12" i="21"/>
  <c r="K12" i="21"/>
  <c r="L12" i="21" s="1"/>
  <c r="AJ11" i="21"/>
  <c r="AI11" i="21"/>
  <c r="AH11" i="21"/>
  <c r="AG11" i="21"/>
  <c r="AF11" i="21"/>
  <c r="AE11" i="21"/>
  <c r="AD11" i="21"/>
  <c r="AC11" i="21"/>
  <c r="AB11" i="21"/>
  <c r="AA11" i="21"/>
  <c r="K11" i="21"/>
  <c r="L11" i="21" s="1"/>
  <c r="AJ10" i="21"/>
  <c r="AI10" i="21"/>
  <c r="AH10" i="21"/>
  <c r="AG10" i="21"/>
  <c r="AF10" i="21"/>
  <c r="AE10" i="21"/>
  <c r="AD10" i="21"/>
  <c r="AC10" i="21"/>
  <c r="AB10" i="21"/>
  <c r="AA10" i="21"/>
  <c r="K10" i="21"/>
  <c r="AJ8" i="21"/>
  <c r="AI8" i="21"/>
  <c r="AH8" i="21"/>
  <c r="AG8" i="21"/>
  <c r="AF8" i="21"/>
  <c r="AE8" i="21"/>
  <c r="AD8" i="21"/>
  <c r="AC8" i="21"/>
  <c r="AB8" i="21"/>
  <c r="AA8" i="21"/>
  <c r="K8" i="21"/>
  <c r="L8" i="21" s="1"/>
  <c r="AJ7" i="21"/>
  <c r="AI7" i="21"/>
  <c r="AH7" i="21"/>
  <c r="AG7" i="21"/>
  <c r="AF7" i="21"/>
  <c r="AE7" i="21"/>
  <c r="AD7" i="21"/>
  <c r="AC7" i="21"/>
  <c r="AB7" i="21"/>
  <c r="AA7" i="21"/>
  <c r="K7" i="21"/>
  <c r="L7" i="21" s="1"/>
  <c r="AJ6" i="21"/>
  <c r="AI6" i="21"/>
  <c r="AH6" i="21"/>
  <c r="AG6" i="21"/>
  <c r="AF6" i="21"/>
  <c r="AE6" i="21"/>
  <c r="AD6" i="21"/>
  <c r="AC6" i="21"/>
  <c r="AB6" i="21"/>
  <c r="AA6" i="21"/>
  <c r="K6" i="21"/>
  <c r="L6" i="21" s="1"/>
  <c r="AJ5" i="21"/>
  <c r="AI5" i="21"/>
  <c r="AH5" i="21"/>
  <c r="AG5" i="21"/>
  <c r="AF5" i="21"/>
  <c r="AE5" i="21"/>
  <c r="AD5" i="21"/>
  <c r="AC5" i="21"/>
  <c r="AB5" i="21"/>
  <c r="AA5" i="21"/>
  <c r="K5" i="21"/>
  <c r="L5" i="21" s="1"/>
  <c r="AJ4" i="21"/>
  <c r="AI4" i="21"/>
  <c r="AH4" i="21"/>
  <c r="AG4" i="21"/>
  <c r="AF4" i="21"/>
  <c r="AE4" i="21"/>
  <c r="AD4" i="21"/>
  <c r="AC4" i="21"/>
  <c r="AB4" i="21"/>
  <c r="AA4" i="21"/>
  <c r="K4" i="21"/>
  <c r="L4" i="21" s="1"/>
  <c r="AJ3" i="21"/>
  <c r="AI3" i="21"/>
  <c r="AH3" i="21"/>
  <c r="AG3" i="21"/>
  <c r="AF3" i="21"/>
  <c r="AE3" i="21"/>
  <c r="AD3" i="21"/>
  <c r="AC3" i="21"/>
  <c r="AB3" i="21"/>
  <c r="AA3" i="21"/>
  <c r="K3" i="21"/>
  <c r="L3" i="21" s="1"/>
  <c r="AJ2" i="21"/>
  <c r="AI2" i="21"/>
  <c r="AH2" i="21"/>
  <c r="AG2" i="21"/>
  <c r="AF2" i="21"/>
  <c r="AE2" i="21"/>
  <c r="AD2" i="21"/>
  <c r="AC2" i="21"/>
  <c r="AB2" i="21"/>
  <c r="AA2" i="21"/>
  <c r="K2" i="21"/>
  <c r="M18" i="20"/>
  <c r="M16" i="20"/>
  <c r="M15" i="20"/>
  <c r="M12" i="20"/>
  <c r="K12" i="20"/>
  <c r="L12" i="20" s="1"/>
  <c r="K11" i="20"/>
  <c r="L11" i="20" s="1"/>
  <c r="M10" i="20"/>
  <c r="K10" i="20"/>
  <c r="L10" i="20" s="1"/>
  <c r="M9" i="20"/>
  <c r="K9" i="20"/>
  <c r="L9" i="20" s="1"/>
  <c r="M8" i="20"/>
  <c r="K8" i="20"/>
  <c r="L8" i="20" s="1"/>
  <c r="K7" i="20"/>
  <c r="L7" i="20" s="1"/>
  <c r="K6" i="20"/>
  <c r="L6" i="20" s="1"/>
  <c r="M5" i="20"/>
  <c r="K5" i="20"/>
  <c r="L5" i="20" s="1"/>
  <c r="M4" i="20"/>
  <c r="K4" i="20"/>
  <c r="L4" i="20" s="1"/>
  <c r="K3" i="20"/>
  <c r="M36" i="19"/>
  <c r="K36" i="19"/>
  <c r="L36" i="19" s="1"/>
  <c r="M35" i="19"/>
  <c r="K35" i="19"/>
  <c r="L35" i="19" s="1"/>
  <c r="M34" i="19"/>
  <c r="K34" i="19"/>
  <c r="L34" i="19" s="1"/>
  <c r="M33" i="19"/>
  <c r="K33" i="19"/>
  <c r="L33" i="19" s="1"/>
  <c r="M32" i="19"/>
  <c r="K32" i="19"/>
  <c r="L32" i="19" s="1"/>
  <c r="M31" i="19"/>
  <c r="K31" i="19"/>
  <c r="L31" i="19" s="1"/>
  <c r="M30" i="19"/>
  <c r="K30" i="19"/>
  <c r="L30" i="19" s="1"/>
  <c r="M29" i="19"/>
  <c r="K29" i="19"/>
  <c r="L29" i="19" s="1"/>
  <c r="M28" i="19"/>
  <c r="K28" i="19"/>
  <c r="L28" i="19" s="1"/>
  <c r="M27" i="19"/>
  <c r="K27" i="19"/>
  <c r="M25" i="19"/>
  <c r="K25" i="19"/>
  <c r="L25" i="19" s="1"/>
  <c r="M24" i="19"/>
  <c r="K24" i="19"/>
  <c r="L24" i="19" s="1"/>
  <c r="M23" i="19"/>
  <c r="K23" i="19"/>
  <c r="L23" i="19" s="1"/>
  <c r="M22" i="19"/>
  <c r="K22" i="19"/>
  <c r="L22" i="19" s="1"/>
  <c r="M21" i="19"/>
  <c r="K21" i="19"/>
  <c r="L21" i="19" s="1"/>
  <c r="M20" i="19"/>
  <c r="K20" i="19"/>
  <c r="L20" i="19" s="1"/>
  <c r="M19" i="19"/>
  <c r="K19" i="19"/>
  <c r="L19" i="19" s="1"/>
  <c r="M18" i="19"/>
  <c r="K18" i="19"/>
  <c r="L18" i="19" s="1"/>
  <c r="M17" i="19"/>
  <c r="K17" i="19"/>
  <c r="L17" i="19" s="1"/>
  <c r="M16" i="19"/>
  <c r="K16" i="19"/>
  <c r="L16" i="19" s="1"/>
  <c r="M15" i="19"/>
  <c r="K15" i="19"/>
  <c r="M13" i="19"/>
  <c r="K13" i="19"/>
  <c r="L13" i="19" s="1"/>
  <c r="M12" i="19"/>
  <c r="K12" i="19"/>
  <c r="L12" i="19" s="1"/>
  <c r="M11" i="19"/>
  <c r="K11" i="19"/>
  <c r="L11" i="19" s="1"/>
  <c r="M10" i="19"/>
  <c r="K10" i="19"/>
  <c r="L10" i="19" s="1"/>
  <c r="M9" i="19"/>
  <c r="K9" i="19"/>
  <c r="M7" i="19"/>
  <c r="K7" i="19"/>
  <c r="L7" i="19" s="1"/>
  <c r="M6" i="19"/>
  <c r="K6" i="19"/>
  <c r="L6" i="19" s="1"/>
  <c r="M5" i="19"/>
  <c r="K5" i="19"/>
  <c r="L5" i="19" s="1"/>
  <c r="M4" i="19"/>
  <c r="K4" i="19"/>
  <c r="L4" i="19" s="1"/>
  <c r="M3" i="19"/>
  <c r="K3" i="19"/>
  <c r="K31" i="16"/>
  <c r="L31" i="16" s="1"/>
  <c r="K30" i="16"/>
  <c r="L30" i="16" s="1"/>
  <c r="K29" i="16"/>
  <c r="L29" i="16" s="1"/>
  <c r="K28" i="16"/>
  <c r="L28" i="16" s="1"/>
  <c r="K27" i="16"/>
  <c r="L27" i="16" s="1"/>
  <c r="K26" i="16"/>
  <c r="L26" i="16" s="1"/>
  <c r="K25" i="16"/>
  <c r="L25" i="16" s="1"/>
  <c r="K24" i="16"/>
  <c r="L24" i="16" s="1"/>
  <c r="K23" i="16"/>
  <c r="L23" i="16" s="1"/>
  <c r="K22" i="16"/>
  <c r="L22" i="16" s="1"/>
  <c r="K21" i="16"/>
  <c r="L21" i="16" s="1"/>
  <c r="K20" i="16"/>
  <c r="L20" i="16" s="1"/>
  <c r="K19" i="16"/>
  <c r="L19" i="16" s="1"/>
  <c r="K18" i="16"/>
  <c r="L18" i="16" s="1"/>
  <c r="D17" i="16"/>
  <c r="K17" i="16" s="1"/>
  <c r="L17" i="16" s="1"/>
  <c r="K16" i="16"/>
  <c r="L16" i="16" s="1"/>
  <c r="K15" i="16"/>
  <c r="L15" i="16" s="1"/>
  <c r="K14" i="16"/>
  <c r="M12" i="16"/>
  <c r="K12" i="16"/>
  <c r="L12" i="16" s="1"/>
  <c r="M11" i="16"/>
  <c r="K11" i="16"/>
  <c r="L11" i="16" s="1"/>
  <c r="M10" i="16"/>
  <c r="K10" i="16"/>
  <c r="L10" i="16" s="1"/>
  <c r="M9" i="16"/>
  <c r="K9" i="16"/>
  <c r="L9" i="16" s="1"/>
  <c r="M8" i="16"/>
  <c r="K8" i="16"/>
  <c r="L8" i="16" s="1"/>
  <c r="M7" i="16"/>
  <c r="K7" i="16"/>
  <c r="L7" i="16" s="1"/>
  <c r="M6" i="16"/>
  <c r="K6" i="16"/>
  <c r="L6" i="16" s="1"/>
  <c r="M5" i="16"/>
  <c r="K5" i="16"/>
  <c r="L5" i="16" s="1"/>
  <c r="M4" i="16"/>
  <c r="K4" i="16"/>
  <c r="L4" i="16" s="1"/>
  <c r="M3" i="16"/>
  <c r="K3" i="16"/>
  <c r="G43" i="17"/>
  <c r="H43" i="17" s="1"/>
  <c r="G42" i="17"/>
  <c r="H42" i="17" s="1"/>
  <c r="G41" i="17"/>
  <c r="H41" i="17" s="1"/>
  <c r="G40" i="17"/>
  <c r="H40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0" i="17"/>
  <c r="H49" i="17" s="1"/>
  <c r="O8" i="15"/>
  <c r="P8" i="15" s="1"/>
  <c r="G8" i="15"/>
  <c r="H8" i="15" s="1"/>
  <c r="O7" i="15"/>
  <c r="P7" i="15" s="1"/>
  <c r="G7" i="15"/>
  <c r="H7" i="15" s="1"/>
  <c r="O6" i="15"/>
  <c r="P6" i="15" s="1"/>
  <c r="G6" i="15"/>
  <c r="H6" i="15" s="1"/>
  <c r="O5" i="15"/>
  <c r="P5" i="15" s="1"/>
  <c r="G5" i="15"/>
  <c r="H5" i="15" s="1"/>
  <c r="O4" i="15"/>
  <c r="P4" i="15" s="1"/>
  <c r="G4" i="15"/>
  <c r="H4" i="15" s="1"/>
  <c r="O3" i="15"/>
  <c r="G3" i="15"/>
  <c r="K20" i="14"/>
  <c r="L20" i="14" s="1"/>
  <c r="K19" i="14"/>
  <c r="L19" i="14" s="1"/>
  <c r="K18" i="14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K7" i="14"/>
  <c r="L7" i="14" s="1"/>
  <c r="K6" i="14"/>
  <c r="L6" i="14" s="1"/>
  <c r="K5" i="14"/>
  <c r="L5" i="14" s="1"/>
  <c r="K4" i="14"/>
  <c r="L4" i="14" s="1"/>
  <c r="K3" i="14"/>
  <c r="N12" i="13"/>
  <c r="O12" i="13" s="1"/>
  <c r="G12" i="13"/>
  <c r="H12" i="13" s="1"/>
  <c r="N11" i="13"/>
  <c r="O11" i="13" s="1"/>
  <c r="G11" i="13"/>
  <c r="H11" i="13" s="1"/>
  <c r="N10" i="13"/>
  <c r="O10" i="13" s="1"/>
  <c r="G10" i="13"/>
  <c r="H10" i="13" s="1"/>
  <c r="N9" i="13"/>
  <c r="O9" i="13" s="1"/>
  <c r="G9" i="13"/>
  <c r="H9" i="13" s="1"/>
  <c r="N8" i="13"/>
  <c r="O8" i="13" s="1"/>
  <c r="G8" i="13"/>
  <c r="H8" i="13" s="1"/>
  <c r="N7" i="13"/>
  <c r="O7" i="13" s="1"/>
  <c r="G7" i="13"/>
  <c r="H7" i="13" s="1"/>
  <c r="N6" i="13"/>
  <c r="O6" i="13" s="1"/>
  <c r="G6" i="13"/>
  <c r="H6" i="13" s="1"/>
  <c r="N5" i="13"/>
  <c r="G5" i="13"/>
  <c r="H5" i="13" s="1"/>
  <c r="G4" i="13"/>
  <c r="H4" i="13" s="1"/>
  <c r="G3" i="13"/>
  <c r="K14" i="12"/>
  <c r="L14" i="12" s="1"/>
  <c r="K13" i="12"/>
  <c r="L13" i="12" s="1"/>
  <c r="K12" i="12"/>
  <c r="L12" i="12" s="1"/>
  <c r="K11" i="12"/>
  <c r="L11" i="12" s="1"/>
  <c r="K10" i="12"/>
  <c r="L10" i="12" s="1"/>
  <c r="K9" i="12"/>
  <c r="L9" i="12" s="1"/>
  <c r="K8" i="12"/>
  <c r="L8" i="12" s="1"/>
  <c r="K7" i="12"/>
  <c r="L7" i="12" s="1"/>
  <c r="K6" i="12"/>
  <c r="L6" i="12" s="1"/>
  <c r="K5" i="12"/>
  <c r="L5" i="12" s="1"/>
  <c r="K4" i="12"/>
  <c r="L4" i="12" s="1"/>
  <c r="K3" i="12"/>
  <c r="K25" i="11"/>
  <c r="L25" i="11" s="1"/>
  <c r="K24" i="11"/>
  <c r="L24" i="11" s="1"/>
  <c r="K23" i="11"/>
  <c r="L23" i="11" s="1"/>
  <c r="K22" i="11"/>
  <c r="L22" i="11" s="1"/>
  <c r="K21" i="11"/>
  <c r="L21" i="11" s="1"/>
  <c r="K20" i="11"/>
  <c r="L20" i="11" s="1"/>
  <c r="K19" i="11"/>
  <c r="L19" i="11" s="1"/>
  <c r="K18" i="11"/>
  <c r="L18" i="11" s="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L12" i="11" s="1"/>
  <c r="K11" i="11"/>
  <c r="L11" i="11" s="1"/>
  <c r="K10" i="11"/>
  <c r="K8" i="11"/>
  <c r="L8" i="11" s="1"/>
  <c r="K7" i="11"/>
  <c r="L7" i="11" s="1"/>
  <c r="K6" i="11"/>
  <c r="L6" i="11" s="1"/>
  <c r="K5" i="11"/>
  <c r="L5" i="11" s="1"/>
  <c r="K4" i="11"/>
  <c r="L4" i="11" s="1"/>
  <c r="K3" i="11"/>
  <c r="K17" i="10"/>
  <c r="L17" i="10" s="1"/>
  <c r="K16" i="10"/>
  <c r="L16" i="10" s="1"/>
  <c r="K15" i="10"/>
  <c r="K13" i="10"/>
  <c r="L13" i="10" s="1"/>
  <c r="K12" i="10"/>
  <c r="L12" i="10" s="1"/>
  <c r="K11" i="10"/>
  <c r="L11" i="10" s="1"/>
  <c r="K10" i="10"/>
  <c r="L10" i="10" s="1"/>
  <c r="K9" i="10"/>
  <c r="L9" i="10" s="1"/>
  <c r="K8" i="10"/>
  <c r="L8" i="10" s="1"/>
  <c r="K7" i="10"/>
  <c r="L7" i="10" s="1"/>
  <c r="K6" i="10"/>
  <c r="L6" i="10" s="1"/>
  <c r="K5" i="10"/>
  <c r="L5" i="10" s="1"/>
  <c r="K4" i="10"/>
  <c r="L4" i="10" s="1"/>
  <c r="K3" i="10"/>
  <c r="N27" i="9"/>
  <c r="K27" i="9"/>
  <c r="L27" i="9" s="1"/>
  <c r="N26" i="9"/>
  <c r="K26" i="9"/>
  <c r="L26" i="9" s="1"/>
  <c r="N25" i="9"/>
  <c r="K25" i="9"/>
  <c r="L25" i="9" s="1"/>
  <c r="N24" i="9"/>
  <c r="K24" i="9"/>
  <c r="L24" i="9" s="1"/>
  <c r="N23" i="9"/>
  <c r="K23" i="9"/>
  <c r="L23" i="9" s="1"/>
  <c r="N22" i="9"/>
  <c r="K22" i="9"/>
  <c r="L22" i="9" s="1"/>
  <c r="N21" i="9"/>
  <c r="K21" i="9"/>
  <c r="K19" i="9"/>
  <c r="L19" i="9" s="1"/>
  <c r="K18" i="9"/>
  <c r="L18" i="9" s="1"/>
  <c r="K17" i="9"/>
  <c r="L17" i="9" s="1"/>
  <c r="K16" i="9"/>
  <c r="L16" i="9" s="1"/>
  <c r="K15" i="9"/>
  <c r="L15" i="9" s="1"/>
  <c r="K14" i="9"/>
  <c r="K12" i="9"/>
  <c r="L12" i="9" s="1"/>
  <c r="K11" i="9"/>
  <c r="L11" i="9" s="1"/>
  <c r="K10" i="9"/>
  <c r="L10" i="9" s="1"/>
  <c r="K9" i="9"/>
  <c r="L9" i="9" s="1"/>
  <c r="K8" i="9"/>
  <c r="L8" i="9" s="1"/>
  <c r="K7" i="9"/>
  <c r="L7" i="9" s="1"/>
  <c r="K6" i="9"/>
  <c r="L6" i="9" s="1"/>
  <c r="K5" i="9"/>
  <c r="L5" i="9" s="1"/>
  <c r="K4" i="9"/>
  <c r="L4" i="9" s="1"/>
  <c r="K3" i="9"/>
  <c r="K34" i="8"/>
  <c r="L34" i="8" s="1"/>
  <c r="K33" i="8"/>
  <c r="L33" i="8" s="1"/>
  <c r="K32" i="8"/>
  <c r="L32" i="8" s="1"/>
  <c r="K31" i="8"/>
  <c r="L31" i="8" s="1"/>
  <c r="K30" i="8"/>
  <c r="K28" i="8"/>
  <c r="L28" i="8" s="1"/>
  <c r="K27" i="8"/>
  <c r="L27" i="8" s="1"/>
  <c r="K26" i="8"/>
  <c r="L26" i="8" s="1"/>
  <c r="K25" i="8"/>
  <c r="L25" i="8" s="1"/>
  <c r="K24" i="8"/>
  <c r="L24" i="8" s="1"/>
  <c r="K23" i="8"/>
  <c r="L23" i="8" s="1"/>
  <c r="K22" i="8"/>
  <c r="L22" i="8" s="1"/>
  <c r="K21" i="8"/>
  <c r="L21" i="8" s="1"/>
  <c r="K20" i="8"/>
  <c r="L20" i="8" s="1"/>
  <c r="K19" i="8"/>
  <c r="K17" i="8"/>
  <c r="L17" i="8" s="1"/>
  <c r="K16" i="8"/>
  <c r="L16" i="8" s="1"/>
  <c r="K15" i="8"/>
  <c r="L15" i="8" s="1"/>
  <c r="K14" i="8"/>
  <c r="L14" i="8" s="1"/>
  <c r="K13" i="8"/>
  <c r="L13" i="8" s="1"/>
  <c r="K12" i="8"/>
  <c r="L12" i="8" s="1"/>
  <c r="K11" i="8"/>
  <c r="L11" i="8" s="1"/>
  <c r="K10" i="8"/>
  <c r="L10" i="8" s="1"/>
  <c r="K9" i="8"/>
  <c r="L9" i="8" s="1"/>
  <c r="K8" i="8"/>
  <c r="L8" i="8" s="1"/>
  <c r="K7" i="8"/>
  <c r="L7" i="8" s="1"/>
  <c r="K6" i="8"/>
  <c r="L6" i="8" s="1"/>
  <c r="K5" i="8"/>
  <c r="L5" i="8" s="1"/>
  <c r="K4" i="8"/>
  <c r="L4" i="8" s="1"/>
  <c r="K3" i="8"/>
  <c r="K9" i="7"/>
  <c r="L9" i="7" s="1"/>
  <c r="K8" i="7"/>
  <c r="L8" i="7" s="1"/>
  <c r="K7" i="7"/>
  <c r="L7" i="7" s="1"/>
  <c r="K6" i="7"/>
  <c r="L6" i="7" s="1"/>
  <c r="K5" i="7"/>
  <c r="L5" i="7" s="1"/>
  <c r="K4" i="7"/>
  <c r="L4" i="7" s="1"/>
  <c r="K3" i="7"/>
  <c r="L37" i="6"/>
  <c r="L36" i="6"/>
  <c r="L35" i="6"/>
  <c r="K25" i="6"/>
  <c r="K24" i="6"/>
  <c r="K23" i="6"/>
  <c r="K22" i="6"/>
  <c r="K21" i="6"/>
  <c r="K20" i="6"/>
  <c r="K19" i="6"/>
  <c r="K18" i="6"/>
  <c r="K17" i="6"/>
  <c r="K16" i="6"/>
  <c r="K15" i="6"/>
  <c r="K14" i="6"/>
  <c r="K12" i="6"/>
  <c r="K11" i="6"/>
  <c r="K10" i="6"/>
  <c r="K9" i="6"/>
  <c r="K8" i="6"/>
  <c r="K7" i="6"/>
  <c r="K6" i="6"/>
  <c r="K5" i="6"/>
  <c r="K4" i="6"/>
  <c r="K3" i="6"/>
  <c r="K9" i="5"/>
  <c r="L9" i="5" s="1"/>
  <c r="K8" i="5"/>
  <c r="L8" i="5" s="1"/>
  <c r="K7" i="5"/>
  <c r="L7" i="5" s="1"/>
  <c r="K6" i="5"/>
  <c r="L6" i="5" s="1"/>
  <c r="K5" i="5"/>
  <c r="L5" i="5" s="1"/>
  <c r="K4" i="5"/>
  <c r="K27" i="4"/>
  <c r="L27" i="4" s="1"/>
  <c r="K26" i="4"/>
  <c r="L26" i="4" s="1"/>
  <c r="K25" i="4"/>
  <c r="L25" i="4" s="1"/>
  <c r="K24" i="4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K5" i="4"/>
  <c r="L5" i="4" s="1"/>
  <c r="K4" i="4"/>
  <c r="L23" i="3"/>
  <c r="L22" i="3"/>
  <c r="L21" i="3"/>
  <c r="L20" i="3"/>
  <c r="L19" i="3"/>
  <c r="L18" i="3"/>
  <c r="L17" i="3"/>
  <c r="L14" i="3"/>
  <c r="L13" i="3"/>
  <c r="L12" i="3"/>
  <c r="L11" i="3"/>
  <c r="L10" i="3"/>
  <c r="L9" i="3"/>
  <c r="L8" i="3"/>
  <c r="L7" i="3"/>
  <c r="L6" i="3"/>
  <c r="L5" i="3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3" l="1"/>
  <c r="L25" i="3" s="1"/>
  <c r="K25" i="3"/>
  <c r="K28" i="6"/>
  <c r="L4" i="5"/>
  <c r="L37" i="5" s="1"/>
  <c r="K37" i="5"/>
  <c r="K30" i="6"/>
  <c r="L3" i="11"/>
  <c r="L28" i="11" s="1"/>
  <c r="K28" i="11"/>
  <c r="L3" i="16"/>
  <c r="L60" i="16" s="1"/>
  <c r="K60" i="16"/>
  <c r="L9" i="19"/>
  <c r="L40" i="19" s="1"/>
  <c r="K40" i="19"/>
  <c r="L2" i="21"/>
  <c r="L17" i="21" s="1"/>
  <c r="K17" i="21"/>
  <c r="L3" i="8"/>
  <c r="L51" i="8" s="1"/>
  <c r="K51" i="8"/>
  <c r="L16" i="3"/>
  <c r="L27" i="3" s="1"/>
  <c r="K27" i="3"/>
  <c r="L4" i="4"/>
  <c r="L30" i="4" s="1"/>
  <c r="K30" i="4"/>
  <c r="L27" i="19"/>
  <c r="L44" i="19" s="1"/>
  <c r="K44" i="19"/>
  <c r="H3" i="13"/>
  <c r="H17" i="13" s="1"/>
  <c r="G17" i="13"/>
  <c r="H17" i="17"/>
  <c r="H50" i="17" s="1"/>
  <c r="G50" i="17"/>
  <c r="L15" i="19"/>
  <c r="L42" i="19" s="1"/>
  <c r="K42" i="19"/>
  <c r="L3" i="10"/>
  <c r="L19" i="10" s="1"/>
  <c r="K19" i="10"/>
  <c r="L24" i="4"/>
  <c r="L32" i="4" s="1"/>
  <c r="K32" i="4"/>
  <c r="L3" i="9"/>
  <c r="L51" i="9" s="1"/>
  <c r="K51" i="9"/>
  <c r="L21" i="9"/>
  <c r="L55" i="9" s="1"/>
  <c r="K55" i="9"/>
  <c r="L3" i="14"/>
  <c r="L56" i="14" s="1"/>
  <c r="K56" i="14"/>
  <c r="L14" i="16"/>
  <c r="L62" i="16" s="1"/>
  <c r="K62" i="16"/>
  <c r="L4" i="2"/>
  <c r="L45" i="2" s="1"/>
  <c r="K45" i="2"/>
  <c r="L19" i="8"/>
  <c r="L53" i="8" s="1"/>
  <c r="K53" i="8"/>
  <c r="L15" i="10"/>
  <c r="L21" i="10" s="1"/>
  <c r="K21" i="10"/>
  <c r="O5" i="13"/>
  <c r="O17" i="13" s="1"/>
  <c r="N17" i="13"/>
  <c r="L3" i="20"/>
  <c r="L23" i="20" s="1"/>
  <c r="K23" i="20"/>
  <c r="L10" i="21"/>
  <c r="L19" i="21" s="1"/>
  <c r="K19" i="21"/>
  <c r="L14" i="9"/>
  <c r="L53" i="9" s="1"/>
  <c r="K53" i="9"/>
  <c r="L10" i="11"/>
  <c r="K30" i="11"/>
  <c r="L3" i="12"/>
  <c r="L16" i="12" s="1"/>
  <c r="K16" i="12"/>
  <c r="H3" i="15"/>
  <c r="H10" i="15" s="1"/>
  <c r="G10" i="15"/>
  <c r="H33" i="17"/>
  <c r="H51" i="17" s="1"/>
  <c r="G51" i="17"/>
  <c r="L3" i="19"/>
  <c r="L38" i="19" s="1"/>
  <c r="K38" i="19"/>
  <c r="L3" i="7"/>
  <c r="L12" i="7" s="1"/>
  <c r="K12" i="7"/>
  <c r="L30" i="8"/>
  <c r="L55" i="8" s="1"/>
  <c r="K55" i="8"/>
  <c r="P3" i="15"/>
  <c r="P10" i="15" s="1"/>
  <c r="O10" i="15"/>
  <c r="G3" i="25"/>
  <c r="H3" i="25" s="1"/>
  <c r="S5" i="15"/>
  <c r="S6" i="15"/>
  <c r="L38" i="6"/>
  <c r="S7" i="15"/>
  <c r="S4" i="15"/>
  <c r="S8" i="15"/>
  <c r="H45" i="17"/>
  <c r="H29" i="17"/>
  <c r="I3" i="15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M7" i="14" l="1"/>
  <c r="L30" i="11"/>
  <c r="S3" i="15"/>
</calcChain>
</file>

<file path=xl/sharedStrings.xml><?xml version="1.0" encoding="utf-8"?>
<sst xmlns="http://schemas.openxmlformats.org/spreadsheetml/2006/main" count="1560" uniqueCount="966">
  <si>
    <t>Age</t>
  </si>
  <si>
    <t>Later Aging(25-28)</t>
  </si>
  <si>
    <t>Control</t>
  </si>
  <si>
    <t>Date</t>
  </si>
  <si>
    <t>File #</t>
  </si>
  <si>
    <t>Cell #</t>
  </si>
  <si>
    <t>RP</t>
  </si>
  <si>
    <t>mEPP Peak</t>
  </si>
  <si>
    <t>EPP Peak</t>
  </si>
  <si>
    <t>EPP Peak (Corrected)</t>
  </si>
  <si>
    <t>QC by Peak</t>
  </si>
  <si>
    <t>Notes:</t>
  </si>
  <si>
    <t>Variance</t>
  </si>
  <si>
    <t>Frequency</t>
  </si>
  <si>
    <t>05316038/039</t>
  </si>
  <si>
    <t>05316040/041</t>
  </si>
  <si>
    <t>05316042/043</t>
  </si>
  <si>
    <t>05316044/045</t>
  </si>
  <si>
    <t>05316046/047</t>
  </si>
  <si>
    <t>05316048/049</t>
  </si>
  <si>
    <t>05316050/051</t>
  </si>
  <si>
    <t>05316052/053</t>
  </si>
  <si>
    <t>05316054/055</t>
  </si>
  <si>
    <t>05316056/057</t>
  </si>
  <si>
    <t>05316058/059</t>
  </si>
  <si>
    <t>05316060/061</t>
  </si>
  <si>
    <t>05316062/063</t>
  </si>
  <si>
    <t>05316064/065</t>
  </si>
  <si>
    <t>05316066/067</t>
  </si>
  <si>
    <t>05316068/069</t>
  </si>
  <si>
    <t>05316070/071</t>
  </si>
  <si>
    <t>05316072/073</t>
  </si>
  <si>
    <t>AVERAGE</t>
  </si>
  <si>
    <t>NO.</t>
  </si>
  <si>
    <t>SD</t>
  </si>
  <si>
    <t>SEM</t>
  </si>
  <si>
    <t>Rise time</t>
  </si>
  <si>
    <t>1257000/002</t>
  </si>
  <si>
    <t>1257003/004</t>
  </si>
  <si>
    <t>1257005/006</t>
  </si>
  <si>
    <t>1257007/008</t>
  </si>
  <si>
    <t>1257009/010</t>
  </si>
  <si>
    <t>1257011/012</t>
  </si>
  <si>
    <t>1257013/014</t>
  </si>
  <si>
    <t>1257016/017</t>
  </si>
  <si>
    <t>1257022/023</t>
  </si>
  <si>
    <t>1257024/025</t>
  </si>
  <si>
    <t>1257028/029</t>
  </si>
  <si>
    <t>1307000/002</t>
  </si>
  <si>
    <t>1307005/006</t>
  </si>
  <si>
    <t>1307007/008</t>
  </si>
  <si>
    <t>1307009/010</t>
  </si>
  <si>
    <t>1307011/012</t>
  </si>
  <si>
    <t>1307014/015</t>
  </si>
  <si>
    <t>1307018/019</t>
  </si>
  <si>
    <t>1307020/021</t>
  </si>
  <si>
    <t>12016002/003</t>
  </si>
  <si>
    <t>12016004/005</t>
  </si>
  <si>
    <t>12016006/007</t>
  </si>
  <si>
    <t>12016008/009</t>
  </si>
  <si>
    <t>12016011/012</t>
  </si>
  <si>
    <t>12016013/014</t>
  </si>
  <si>
    <t>12016015/016</t>
  </si>
  <si>
    <t>12016017/018</t>
  </si>
  <si>
    <t>12016020/021</t>
  </si>
  <si>
    <t>12016023/024</t>
  </si>
  <si>
    <t>12016025/026</t>
  </si>
  <si>
    <t>12016028/029</t>
  </si>
  <si>
    <t>12016030/031</t>
  </si>
  <si>
    <t>12016034/035</t>
  </si>
  <si>
    <t>12016037/038</t>
  </si>
  <si>
    <t>12016039/040</t>
  </si>
  <si>
    <t>12016041/042</t>
  </si>
  <si>
    <t>12016043/044</t>
  </si>
  <si>
    <t>12016047/049</t>
  </si>
  <si>
    <t>12066000/001</t>
  </si>
  <si>
    <t>12066002/003</t>
  </si>
  <si>
    <t>12066004/005</t>
  </si>
  <si>
    <t>12066006/007</t>
  </si>
  <si>
    <t>Notes</t>
  </si>
  <si>
    <t>02207000/001</t>
  </si>
  <si>
    <t>02207002/003</t>
  </si>
  <si>
    <t>02207021/022</t>
  </si>
  <si>
    <t>02207028/029</t>
  </si>
  <si>
    <t>02207030/031</t>
  </si>
  <si>
    <t>02207032/033</t>
  </si>
  <si>
    <t>02017000/001</t>
  </si>
  <si>
    <t>02017002/003</t>
  </si>
  <si>
    <t>02017004/005</t>
  </si>
  <si>
    <t>02017006/007</t>
  </si>
  <si>
    <t>02017008/009</t>
  </si>
  <si>
    <t>02017010/011</t>
  </si>
  <si>
    <t>02017012/013</t>
  </si>
  <si>
    <t>02017014/015</t>
  </si>
  <si>
    <t>02017016/017</t>
  </si>
  <si>
    <t>02017018/019</t>
  </si>
  <si>
    <t>02027000/001</t>
  </si>
  <si>
    <t>02027002/003</t>
  </si>
  <si>
    <t>02027004/005</t>
  </si>
  <si>
    <t>02027006/007</t>
  </si>
  <si>
    <t>02027008/009</t>
  </si>
  <si>
    <t>02027010/011</t>
  </si>
  <si>
    <t>02027012/013</t>
  </si>
  <si>
    <t>02027014/015</t>
  </si>
  <si>
    <t>02027016/017</t>
  </si>
  <si>
    <t>02027018/019</t>
  </si>
  <si>
    <t>02027020/021</t>
  </si>
  <si>
    <t>02027022/023</t>
  </si>
  <si>
    <t>18 month M animal</t>
  </si>
  <si>
    <t>File # (Mini/EPP)</t>
  </si>
  <si>
    <t>Mini Frequency</t>
  </si>
  <si>
    <t>06049001/2</t>
  </si>
  <si>
    <t>06049004/5</t>
  </si>
  <si>
    <t>06049007/8</t>
  </si>
  <si>
    <t>0604901011</t>
  </si>
  <si>
    <t>06049014/15</t>
  </si>
  <si>
    <t>06049017/18</t>
  </si>
  <si>
    <t>04266000/001</t>
  </si>
  <si>
    <t>04266002/003</t>
  </si>
  <si>
    <t>04266006/007</t>
  </si>
  <si>
    <t>04266010/011</t>
  </si>
  <si>
    <t>04266012/013</t>
  </si>
  <si>
    <t>04266014/015</t>
  </si>
  <si>
    <t>04266020/022</t>
  </si>
  <si>
    <t>04266023/024</t>
  </si>
  <si>
    <t>04266025/027</t>
  </si>
  <si>
    <t>04266028/029</t>
  </si>
  <si>
    <t>04266030/031</t>
  </si>
  <si>
    <t>04266032/033</t>
  </si>
  <si>
    <t>04266035/036</t>
  </si>
  <si>
    <t>04266038/039</t>
  </si>
  <si>
    <t>04266041/043</t>
  </si>
  <si>
    <t>04226000/001</t>
  </si>
  <si>
    <t>04226008/009</t>
  </si>
  <si>
    <t>04226011/012</t>
  </si>
  <si>
    <t>04226014/015</t>
  </si>
  <si>
    <t>04226017/018</t>
  </si>
  <si>
    <t>04226020/021</t>
  </si>
  <si>
    <t>04226023/024</t>
  </si>
  <si>
    <t>04226026/027</t>
  </si>
  <si>
    <t>04226029/030</t>
  </si>
  <si>
    <t>04226032/033</t>
  </si>
  <si>
    <t>03207000/001</t>
  </si>
  <si>
    <t>03207002/003</t>
  </si>
  <si>
    <t>03207004/005</t>
  </si>
  <si>
    <t>03207007/008</t>
  </si>
  <si>
    <t>03207010/011</t>
  </si>
  <si>
    <t>05106003/004</t>
  </si>
  <si>
    <t>05106005/006</t>
  </si>
  <si>
    <t>05106007/008</t>
  </si>
  <si>
    <t>05106009/010</t>
  </si>
  <si>
    <t>05106015/016</t>
  </si>
  <si>
    <t>05106017/018</t>
  </si>
  <si>
    <t>05106021/022</t>
  </si>
  <si>
    <t>05106025/026</t>
  </si>
  <si>
    <t>05106029/030</t>
  </si>
  <si>
    <t>05106033/034</t>
  </si>
  <si>
    <t>05246000/001</t>
  </si>
  <si>
    <t>05246002/003</t>
  </si>
  <si>
    <t>05246004/005</t>
  </si>
  <si>
    <t>05246006/007</t>
  </si>
  <si>
    <t>05246008/009</t>
  </si>
  <si>
    <t>05246010/011</t>
  </si>
  <si>
    <t>File # (Mini/EPP/Train)</t>
  </si>
  <si>
    <t>05019000/01/02</t>
  </si>
  <si>
    <t>05019003/04/05</t>
  </si>
  <si>
    <t>05019006/07/08</t>
  </si>
  <si>
    <t>05019012/13/14</t>
  </si>
  <si>
    <t>05019019/20/21</t>
  </si>
  <si>
    <t>05019022/23/24</t>
  </si>
  <si>
    <t>05019025/26/27</t>
  </si>
  <si>
    <t>07226000/003</t>
  </si>
  <si>
    <t>07226004/005</t>
  </si>
  <si>
    <t>07226006/007</t>
  </si>
  <si>
    <t>07226008/009</t>
  </si>
  <si>
    <t>07226010/011</t>
  </si>
  <si>
    <t>07226012/013</t>
  </si>
  <si>
    <t>07226014/015</t>
  </si>
  <si>
    <t>07226016/017</t>
  </si>
  <si>
    <t>07226018/019</t>
  </si>
  <si>
    <t>07226020/021</t>
  </si>
  <si>
    <t>07226022/023</t>
  </si>
  <si>
    <t>16802001/002</t>
  </si>
  <si>
    <t>16802003/004</t>
  </si>
  <si>
    <t>16802007/008</t>
  </si>
  <si>
    <t>08246001/002</t>
  </si>
  <si>
    <t>08246003/004</t>
  </si>
  <si>
    <t>08246005/006</t>
  </si>
  <si>
    <t>08246009/010</t>
  </si>
  <si>
    <t>08246011/012</t>
  </si>
  <si>
    <t>08246015/016</t>
  </si>
  <si>
    <t>08256001/002</t>
  </si>
  <si>
    <t>08256005/006</t>
  </si>
  <si>
    <t>08256007/008</t>
  </si>
  <si>
    <t>08256009/010</t>
  </si>
  <si>
    <t>08256011/012</t>
  </si>
  <si>
    <t>08256013/014</t>
  </si>
  <si>
    <t>08256015/016</t>
  </si>
  <si>
    <t>08256017/018</t>
  </si>
  <si>
    <t>08256019/020</t>
  </si>
  <si>
    <t>08256021/022</t>
  </si>
  <si>
    <t>08256023/024</t>
  </si>
  <si>
    <t>08256025/026</t>
  </si>
  <si>
    <t>08256027/028</t>
  </si>
  <si>
    <t>08256031/030</t>
  </si>
  <si>
    <t>08256032/033</t>
  </si>
  <si>
    <t>08256034/035</t>
  </si>
  <si>
    <t>GV58</t>
  </si>
  <si>
    <t>10186000/001</t>
  </si>
  <si>
    <t>10186002/003</t>
  </si>
  <si>
    <t>10186004/005</t>
  </si>
  <si>
    <t>10186006/007</t>
  </si>
  <si>
    <t>10186008/009</t>
  </si>
  <si>
    <t>10186010/011</t>
  </si>
  <si>
    <t>10186012/013</t>
  </si>
  <si>
    <t>10186014/015</t>
  </si>
  <si>
    <t>10186016/017</t>
  </si>
  <si>
    <t>10186018/019</t>
  </si>
  <si>
    <t>10186020/021</t>
  </si>
  <si>
    <t>10186022/023</t>
  </si>
  <si>
    <t>10126000/001</t>
  </si>
  <si>
    <t>10126012/013</t>
  </si>
  <si>
    <t>10126002/003</t>
  </si>
  <si>
    <t>10126034/035</t>
  </si>
  <si>
    <t>10126004/005</t>
  </si>
  <si>
    <t>10126032/033</t>
  </si>
  <si>
    <t>10126006/007</t>
  </si>
  <si>
    <t>10126030/031</t>
  </si>
  <si>
    <t>10126008/009</t>
  </si>
  <si>
    <t>10126028/029</t>
  </si>
  <si>
    <t>10126010/011</t>
  </si>
  <si>
    <t>10126026/027</t>
  </si>
  <si>
    <t>10126014/015</t>
  </si>
  <si>
    <t>10126024/025</t>
  </si>
  <si>
    <t>10126016/017</t>
  </si>
  <si>
    <t>10126022/023</t>
  </si>
  <si>
    <t>10126018/019</t>
  </si>
  <si>
    <t>10126020/021</t>
  </si>
  <si>
    <t>Questionable if this should be included in the actual GV data</t>
  </si>
  <si>
    <t>11216000/001</t>
  </si>
  <si>
    <t>11216002/003</t>
  </si>
  <si>
    <t>11216004/005</t>
  </si>
  <si>
    <t>11216006/007</t>
  </si>
  <si>
    <t>11216008/009</t>
  </si>
  <si>
    <t>11216010/011</t>
  </si>
  <si>
    <t>11216012/013</t>
  </si>
  <si>
    <t>11216014/015</t>
  </si>
  <si>
    <t>11216016/017</t>
  </si>
  <si>
    <t>11216018/019</t>
  </si>
  <si>
    <t>11216020/021</t>
  </si>
  <si>
    <t>11216022/023</t>
  </si>
  <si>
    <t>11216024/025</t>
  </si>
  <si>
    <t>11216026/027</t>
  </si>
  <si>
    <t>11216028/029</t>
  </si>
  <si>
    <t>11216030/031</t>
  </si>
  <si>
    <t>11216032/033</t>
  </si>
  <si>
    <t>11216034/035</t>
  </si>
  <si>
    <t>11296000/001</t>
  </si>
  <si>
    <t>11296031/030</t>
  </si>
  <si>
    <t>11296002/003</t>
  </si>
  <si>
    <t>11296028/029</t>
  </si>
  <si>
    <t>11296004/005</t>
  </si>
  <si>
    <t>11296026/027</t>
  </si>
  <si>
    <t>11296012/013</t>
  </si>
  <si>
    <t>11296036/037</t>
  </si>
  <si>
    <t>11296014/015</t>
  </si>
  <si>
    <t>11296038/039</t>
  </si>
  <si>
    <t>11296017/018</t>
  </si>
  <si>
    <t>11296019/020</t>
  </si>
  <si>
    <t>Treament</t>
  </si>
  <si>
    <t>12216000/001</t>
  </si>
  <si>
    <t>12216036/037</t>
  </si>
  <si>
    <t>12216002/003</t>
  </si>
  <si>
    <t>12216034/035</t>
  </si>
  <si>
    <t>12216004/005</t>
  </si>
  <si>
    <t>12216032/033</t>
  </si>
  <si>
    <t>12216006/007</t>
  </si>
  <si>
    <t>12216008/009</t>
  </si>
  <si>
    <t>12216030/031</t>
  </si>
  <si>
    <t>12216010/011</t>
  </si>
  <si>
    <t>12216028/029</t>
  </si>
  <si>
    <t>12216012/013</t>
  </si>
  <si>
    <t>12216026/027</t>
  </si>
  <si>
    <t>12216014/015</t>
  </si>
  <si>
    <t>12216024/025</t>
  </si>
  <si>
    <t>12216016/017</t>
  </si>
  <si>
    <t>12216022/023</t>
  </si>
  <si>
    <t>12216018/019</t>
  </si>
  <si>
    <t>12216020/021</t>
  </si>
  <si>
    <t>08089000/1</t>
  </si>
  <si>
    <t>08089003/4</t>
  </si>
  <si>
    <t>08089006/7</t>
  </si>
  <si>
    <t>08089009/10</t>
  </si>
  <si>
    <t>08089012/13</t>
  </si>
  <si>
    <t>08089015/16</t>
  </si>
  <si>
    <t>08089019/20</t>
  </si>
  <si>
    <t>08089023/24</t>
  </si>
  <si>
    <t>0808926/27</t>
  </si>
  <si>
    <t>08089029/30</t>
  </si>
  <si>
    <t>08089032/33</t>
  </si>
  <si>
    <t>QC Average</t>
  </si>
  <si>
    <t>30 mins post-GV58</t>
  </si>
  <si>
    <t>8089035/36</t>
  </si>
  <si>
    <t>8089038/39</t>
  </si>
  <si>
    <t>8089042/43</t>
  </si>
  <si>
    <t>8089045/46</t>
  </si>
  <si>
    <t>8089048/49</t>
  </si>
  <si>
    <t>8089051/52</t>
  </si>
  <si>
    <t>dead</t>
  </si>
  <si>
    <t>8089054/55</t>
  </si>
  <si>
    <t>8089057/58</t>
  </si>
  <si>
    <t>8089060/61</t>
  </si>
  <si>
    <t>8089063/64</t>
  </si>
  <si>
    <t>08109000/1</t>
  </si>
  <si>
    <t>08109003/4</t>
  </si>
  <si>
    <t>08109006/7</t>
  </si>
  <si>
    <t>08109009/10</t>
  </si>
  <si>
    <t>08109012/13</t>
  </si>
  <si>
    <t>08109015/16</t>
  </si>
  <si>
    <t>08109019/20</t>
  </si>
  <si>
    <t>08109022/23</t>
  </si>
  <si>
    <t>08109025/26</t>
  </si>
  <si>
    <t>08109028/29</t>
  </si>
  <si>
    <t>08119000/1</t>
  </si>
  <si>
    <t>08119003/4</t>
  </si>
  <si>
    <t>08119006/7</t>
  </si>
  <si>
    <t>08119009/10</t>
  </si>
  <si>
    <t>08119012/13</t>
  </si>
  <si>
    <t>08119015/16</t>
  </si>
  <si>
    <t>08119018/19</t>
  </si>
  <si>
    <t>08119022/23</t>
  </si>
  <si>
    <t>08119025/26</t>
  </si>
  <si>
    <t>08119028/29</t>
  </si>
  <si>
    <t>08119031/32</t>
  </si>
  <si>
    <t>08119034/35</t>
  </si>
  <si>
    <t>08119037/38</t>
  </si>
  <si>
    <t>08119040/41</t>
  </si>
  <si>
    <t>08119043/44</t>
  </si>
  <si>
    <t>08119046/47</t>
  </si>
  <si>
    <t>08119049/50</t>
  </si>
  <si>
    <t>08119052/53</t>
  </si>
  <si>
    <t>Treatment</t>
  </si>
  <si>
    <t>GV-58</t>
  </si>
  <si>
    <t>01067000/001</t>
  </si>
  <si>
    <t>01067023/024</t>
  </si>
  <si>
    <t>01067002/003</t>
  </si>
  <si>
    <t>01067021/022</t>
  </si>
  <si>
    <t>01067004/005</t>
  </si>
  <si>
    <t>01067019/020</t>
  </si>
  <si>
    <t>01067008/009</t>
  </si>
  <si>
    <t>01067015/016</t>
  </si>
  <si>
    <t>01067010/011</t>
  </si>
  <si>
    <t>01067013/014</t>
  </si>
  <si>
    <t>09267000/001</t>
  </si>
  <si>
    <t>09267002/003</t>
  </si>
  <si>
    <t>09267004/005</t>
  </si>
  <si>
    <t>09267006/007</t>
  </si>
  <si>
    <t>09267008/009</t>
  </si>
  <si>
    <t>10037000/001</t>
  </si>
  <si>
    <t>10037002/003</t>
  </si>
  <si>
    <t>10037004/005</t>
  </si>
  <si>
    <t>10037006/007</t>
  </si>
  <si>
    <t>10037008/009</t>
  </si>
  <si>
    <t>01230000/001</t>
  </si>
  <si>
    <t>01230003/004</t>
  </si>
  <si>
    <t>01230006/007</t>
  </si>
  <si>
    <t>01230009/010</t>
  </si>
  <si>
    <t>01230012/013</t>
  </si>
  <si>
    <t>01230016/017</t>
  </si>
  <si>
    <t>01230019/020</t>
  </si>
  <si>
    <t xml:space="preserve"> -mEPP?</t>
  </si>
  <si>
    <t>01230023/024</t>
  </si>
  <si>
    <t>01230029/030</t>
  </si>
  <si>
    <t>01230032/033</t>
  </si>
  <si>
    <t>01230035/036</t>
  </si>
  <si>
    <t>02110000/001</t>
  </si>
  <si>
    <t>10107000/001</t>
  </si>
  <si>
    <t>10107002/003</t>
  </si>
  <si>
    <t>10107004/005</t>
  </si>
  <si>
    <t>10107006/007</t>
  </si>
  <si>
    <t>10107008/009</t>
  </si>
  <si>
    <t>10107010/011</t>
  </si>
  <si>
    <t>10107012/013</t>
  </si>
  <si>
    <t>10107014/015</t>
  </si>
  <si>
    <t>10107016/017</t>
  </si>
  <si>
    <t>10107018/019</t>
  </si>
  <si>
    <t>07179000/2</t>
  </si>
  <si>
    <t>07179004/5</t>
  </si>
  <si>
    <t>07179007/8</t>
  </si>
  <si>
    <t>07179010/11</t>
  </si>
  <si>
    <t>07179013/14</t>
  </si>
  <si>
    <t>07179016/17</t>
  </si>
  <si>
    <t>07179019/20</t>
  </si>
  <si>
    <t>07179022/23</t>
  </si>
  <si>
    <t>Aga ratio QC</t>
  </si>
  <si>
    <t>EPP1</t>
  </si>
  <si>
    <t>1178007/8/9</t>
  </si>
  <si>
    <t>1178010/11/12</t>
  </si>
  <si>
    <t>1178013/14/15</t>
  </si>
  <si>
    <t>1178016/17/18</t>
  </si>
  <si>
    <t>1178019/20/21</t>
  </si>
  <si>
    <t>1178022/23/24</t>
  </si>
  <si>
    <t>1178025/26/27</t>
  </si>
  <si>
    <t>1238000/1/2</t>
  </si>
  <si>
    <t>1238003/4/5</t>
  </si>
  <si>
    <t>1238006/7/8</t>
  </si>
  <si>
    <t>1238009/10/11</t>
  </si>
  <si>
    <t>1238013/14/15</t>
  </si>
  <si>
    <t>1238016/17/18</t>
  </si>
  <si>
    <t>06067000/1</t>
  </si>
  <si>
    <t>06067002/3</t>
  </si>
  <si>
    <t>06067004/5</t>
  </si>
  <si>
    <t>06067006/7</t>
  </si>
  <si>
    <t>06067008/9</t>
  </si>
  <si>
    <t>06067010/11</t>
  </si>
  <si>
    <t>06067013/14</t>
  </si>
  <si>
    <t>06067015/16</t>
  </si>
  <si>
    <t>06067018/19</t>
  </si>
  <si>
    <t>06067023/24</t>
  </si>
  <si>
    <t>06067025/26</t>
  </si>
  <si>
    <t>06067027/28</t>
  </si>
  <si>
    <t>06067029/30</t>
  </si>
  <si>
    <t>06067031/32</t>
  </si>
  <si>
    <t>06067033/34</t>
  </si>
  <si>
    <t>06067036/37</t>
  </si>
  <si>
    <t>06067038/39</t>
  </si>
  <si>
    <t>06067040/41</t>
  </si>
  <si>
    <t>06067043/44</t>
  </si>
  <si>
    <t>32mo. #1</t>
  </si>
  <si>
    <t>3058002/3</t>
  </si>
  <si>
    <t>3058004/5</t>
  </si>
  <si>
    <t>3058006/7</t>
  </si>
  <si>
    <t>3058008/9</t>
  </si>
  <si>
    <t>3068010/11</t>
  </si>
  <si>
    <t>3058012/13</t>
  </si>
  <si>
    <t>3058014/15</t>
  </si>
  <si>
    <t>3058016/17</t>
  </si>
  <si>
    <t>3058018/19</t>
  </si>
  <si>
    <t>3058020/21</t>
  </si>
  <si>
    <t>Male Animal #2</t>
  </si>
  <si>
    <t>Jun/28/2017</t>
  </si>
  <si>
    <t>17628000/1</t>
  </si>
  <si>
    <t>17628002/3</t>
  </si>
  <si>
    <t>17628004/5</t>
  </si>
  <si>
    <t>17628006/7</t>
  </si>
  <si>
    <t>17628008/9</t>
  </si>
  <si>
    <t>17628010/11</t>
  </si>
  <si>
    <t>17628012/13</t>
  </si>
  <si>
    <t>17628014/16</t>
  </si>
  <si>
    <t>17628017/18</t>
  </si>
  <si>
    <t>17628019/20</t>
  </si>
  <si>
    <t>17628022/23</t>
  </si>
  <si>
    <t>17628024/25</t>
  </si>
  <si>
    <t>17628026/27</t>
  </si>
  <si>
    <t>17628028/29</t>
  </si>
  <si>
    <t>too noisy</t>
  </si>
  <si>
    <t>17628030/31</t>
  </si>
  <si>
    <t>17628032/33</t>
  </si>
  <si>
    <t>17628034/35</t>
  </si>
  <si>
    <t>Male Animal #1</t>
  </si>
  <si>
    <t>Jun/21/2017</t>
  </si>
  <si>
    <t>06217000/1</t>
  </si>
  <si>
    <t>06217007/8</t>
  </si>
  <si>
    <t>06217009/10</t>
  </si>
  <si>
    <t>06217011/12</t>
  </si>
  <si>
    <t>06217013/14</t>
  </si>
  <si>
    <t>06217015/16</t>
  </si>
  <si>
    <t>06217017/18</t>
  </si>
  <si>
    <t>06217019/20</t>
  </si>
  <si>
    <t>34mo. Male</t>
  </si>
  <si>
    <t>Raw Train</t>
  </si>
  <si>
    <t>Normalized Train</t>
  </si>
  <si>
    <t>Jun/29/2018</t>
  </si>
  <si>
    <t>06298000/1/2</t>
  </si>
  <si>
    <t>06298003/4/5</t>
  </si>
  <si>
    <t>*</t>
  </si>
  <si>
    <t>very noisy</t>
  </si>
  <si>
    <t>06298006/7/8</t>
  </si>
  <si>
    <t>noisy</t>
  </si>
  <si>
    <t>missing</t>
  </si>
  <si>
    <t>06298009/10/11</t>
  </si>
  <si>
    <t>RP/EPP from train</t>
  </si>
  <si>
    <t>06298012/13/14</t>
  </si>
  <si>
    <t>06298015/16/17</t>
  </si>
  <si>
    <t>06298018/19/20</t>
  </si>
  <si>
    <t>06298021/23/24</t>
  </si>
  <si>
    <t>06298025/26/27</t>
  </si>
  <si>
    <t>06298028/29/31</t>
  </si>
  <si>
    <t>36mo. M (T-Type Ca++ Ch Exp) #1</t>
  </si>
  <si>
    <t>10128000/01/(02/03)</t>
  </si>
  <si>
    <t>10128004/06/07</t>
  </si>
  <si>
    <t>10128009/10/11</t>
  </si>
  <si>
    <t>10128012/13/14</t>
  </si>
  <si>
    <t>10128015/16/17</t>
  </si>
  <si>
    <t>10128018/19/20</t>
  </si>
  <si>
    <t>10128021/22/23</t>
  </si>
  <si>
    <t>10128024/25/26</t>
  </si>
  <si>
    <t>37mo. #1</t>
  </si>
  <si>
    <t>06039000/1/2</t>
  </si>
  <si>
    <t>06039003/4/6</t>
  </si>
  <si>
    <t>06039007/9/10</t>
  </si>
  <si>
    <t>06039011/12/14</t>
  </si>
  <si>
    <t>06039015/16/17</t>
  </si>
  <si>
    <t>06039018/20/21</t>
  </si>
  <si>
    <t>07169000/1</t>
  </si>
  <si>
    <t>07179003/4</t>
  </si>
  <si>
    <t>07179006/7</t>
  </si>
  <si>
    <t>07179009/10</t>
  </si>
  <si>
    <t>07179012/13</t>
  </si>
  <si>
    <t>07179015/16</t>
  </si>
  <si>
    <t>07179018/19</t>
  </si>
  <si>
    <t>07179021/22</t>
  </si>
  <si>
    <t>07179025/26</t>
  </si>
  <si>
    <t>07179028/29</t>
  </si>
  <si>
    <t>07179031/32</t>
  </si>
  <si>
    <t>07179034/35</t>
  </si>
  <si>
    <t>38 month Male Animal + Nitrendipine + Multi-innervation Patterns</t>
  </si>
  <si>
    <t>Stimulation Settings: 1-1.5 mA + Volts(V)</t>
  </si>
  <si>
    <t>Dec/09/2018</t>
  </si>
  <si>
    <t>12078000/01/03</t>
  </si>
  <si>
    <t>12078004/05</t>
  </si>
  <si>
    <t>12078009/10</t>
  </si>
  <si>
    <t>12078013/15</t>
  </si>
  <si>
    <t>12078017/18</t>
  </si>
  <si>
    <t>39 month M animal + GV-58</t>
  </si>
  <si>
    <t>Note: The mini sizes vary a lot</t>
  </si>
  <si>
    <t>05089000/1</t>
  </si>
  <si>
    <t>05089003/04</t>
  </si>
  <si>
    <t>05089008/09</t>
  </si>
  <si>
    <t>05089012/13</t>
  </si>
  <si>
    <t>05089015/16</t>
  </si>
  <si>
    <t>05089018/19</t>
  </si>
  <si>
    <t>05089022/23</t>
  </si>
  <si>
    <t>05089025/26</t>
  </si>
  <si>
    <t>05089030/31</t>
  </si>
  <si>
    <t>05089033/34</t>
  </si>
  <si>
    <t xml:space="preserve">30 min after GV-58 Incubation </t>
  </si>
  <si>
    <t>Note: Not so much variation in mini sizes anymore</t>
  </si>
  <si>
    <t>05089039/40</t>
  </si>
  <si>
    <t>05089043/44</t>
  </si>
  <si>
    <t>05089046/47</t>
  </si>
  <si>
    <t>05089049/50</t>
  </si>
  <si>
    <t>05089052/53</t>
  </si>
  <si>
    <t>05089055/56</t>
  </si>
  <si>
    <t>05089058/59</t>
  </si>
  <si>
    <t>05089061/62</t>
  </si>
  <si>
    <t>05089064/66</t>
  </si>
  <si>
    <t>GV effect</t>
  </si>
  <si>
    <t>Total animals</t>
  </si>
  <si>
    <t>Total synapses</t>
  </si>
  <si>
    <t>GV treated animals</t>
  </si>
  <si>
    <t>GV synapses</t>
  </si>
  <si>
    <t>`</t>
  </si>
  <si>
    <t>Decay Time</t>
  </si>
  <si>
    <t>#33</t>
  </si>
  <si>
    <t>03011000/01/02</t>
  </si>
  <si>
    <t>03011003/04/05</t>
  </si>
  <si>
    <t>03011006/07/08</t>
  </si>
  <si>
    <t>03011009/10/11</t>
  </si>
  <si>
    <t>03011012/13/14</t>
  </si>
  <si>
    <t>03011015/16/17</t>
  </si>
  <si>
    <t>03011018/19/20</t>
  </si>
  <si>
    <t>03011021/22/23</t>
  </si>
  <si>
    <t>03011024/25/26</t>
  </si>
  <si>
    <t>03011027/28/29</t>
  </si>
  <si>
    <t>03011030/31/32</t>
  </si>
  <si>
    <t>03011033/34/35</t>
  </si>
  <si>
    <t>nice minis</t>
  </si>
  <si>
    <t>best minis</t>
  </si>
  <si>
    <t>03021000/02/03</t>
  </si>
  <si>
    <t>03021004/05/06</t>
  </si>
  <si>
    <t>wavy</t>
  </si>
  <si>
    <t>03021007/08/09</t>
  </si>
  <si>
    <t>03021010/11/12</t>
  </si>
  <si>
    <t>03021016/18/19</t>
  </si>
  <si>
    <t>03021020/21/22</t>
  </si>
  <si>
    <t>03021023/24/25</t>
  </si>
  <si>
    <t>Good minis, but slightly wavy (potentially can be used for poster</t>
  </si>
  <si>
    <t>03021026/27/28</t>
  </si>
  <si>
    <t>03021029/30/31</t>
  </si>
  <si>
    <t>#34</t>
  </si>
  <si>
    <t>03031000/02/03</t>
  </si>
  <si>
    <t>03031004/05/06</t>
  </si>
  <si>
    <t>03031007/08/09</t>
  </si>
  <si>
    <t>03031010/11/12</t>
  </si>
  <si>
    <t>03031013/14/15</t>
  </si>
  <si>
    <t>Good minis, took pics of these</t>
  </si>
  <si>
    <t>03031016/17/18</t>
  </si>
  <si>
    <t>03031019/20/21</t>
  </si>
  <si>
    <t>03031022/23/24</t>
  </si>
  <si>
    <t>03031025/27/28</t>
  </si>
  <si>
    <t>03031029/30/31</t>
  </si>
  <si>
    <t>03031032/33/34</t>
  </si>
  <si>
    <t>nice minis but a little too noisy for pics</t>
  </si>
  <si>
    <t>03031035/36/37</t>
  </si>
  <si>
    <t>#42</t>
  </si>
  <si>
    <t>Rise Time</t>
  </si>
  <si>
    <t>#19</t>
  </si>
  <si>
    <t>01201000/01/02</t>
  </si>
  <si>
    <t>01201003/04/05</t>
  </si>
  <si>
    <t>01201006/07/08</t>
  </si>
  <si>
    <t>01201009/10/11</t>
  </si>
  <si>
    <t>01201012/13/14</t>
  </si>
  <si>
    <t>01201015/16/17</t>
  </si>
  <si>
    <t>01201018/19/20</t>
  </si>
  <si>
    <t>01201021/22/23</t>
  </si>
  <si>
    <t>01201024/25/26</t>
  </si>
  <si>
    <t>01201027/28/29</t>
  </si>
  <si>
    <t>01201030/31/32</t>
  </si>
  <si>
    <t>01201033/34/35</t>
  </si>
  <si>
    <t>02111000/01/02</t>
  </si>
  <si>
    <t>02111003/04/05</t>
  </si>
  <si>
    <t>02111006/07/08</t>
  </si>
  <si>
    <t>02111009/10/11</t>
  </si>
  <si>
    <t>02111012/13/14</t>
  </si>
  <si>
    <t>02111015/16/17</t>
  </si>
  <si>
    <t>02111018/19/20</t>
  </si>
  <si>
    <t>02111021/22/23</t>
  </si>
  <si>
    <t>02111024/25/26</t>
  </si>
  <si>
    <t>02111027/28/29</t>
  </si>
  <si>
    <t>02111030/31/32</t>
  </si>
  <si>
    <t>02111033/34/35</t>
  </si>
  <si>
    <t>#28</t>
  </si>
  <si>
    <t>#29</t>
  </si>
  <si>
    <t>02161000/01/03</t>
  </si>
  <si>
    <t>02161004/05/06</t>
  </si>
  <si>
    <t>02161007/08/09</t>
  </si>
  <si>
    <t>02161010/11/12</t>
  </si>
  <si>
    <t>02161013/14/15</t>
  </si>
  <si>
    <t>02161016/17/18</t>
  </si>
  <si>
    <t>02161019/20/21</t>
  </si>
  <si>
    <t>#17</t>
  </si>
  <si>
    <t>01261000/01/02</t>
  </si>
  <si>
    <t>01261003/04/05</t>
  </si>
  <si>
    <t>01261006/07/08</t>
  </si>
  <si>
    <t>01261009/10/11</t>
  </si>
  <si>
    <t>01261012/13/14</t>
  </si>
  <si>
    <t>01261015/16/17</t>
  </si>
  <si>
    <t>01261018/19/20</t>
  </si>
  <si>
    <t>01261024/26/27</t>
  </si>
  <si>
    <t>01261028/29/30</t>
  </si>
  <si>
    <t>01261031/32/33</t>
  </si>
  <si>
    <t>01261034/35/36</t>
  </si>
  <si>
    <t>01261037/38/39</t>
  </si>
  <si>
    <t>#18</t>
  </si>
  <si>
    <t>01271000/01/02</t>
  </si>
  <si>
    <t>01271003/04/05</t>
  </si>
  <si>
    <t>01271006/07/08</t>
  </si>
  <si>
    <t>01271009/10/11</t>
  </si>
  <si>
    <t>01271012/13/14</t>
  </si>
  <si>
    <t>01271015/16/17</t>
  </si>
  <si>
    <t>01271018/19/20</t>
  </si>
  <si>
    <t>01271021/22/23</t>
  </si>
  <si>
    <t>01271024/25/26</t>
  </si>
  <si>
    <t>01271027/28/29</t>
  </si>
  <si>
    <t>01271030/31/32</t>
  </si>
  <si>
    <t>01271033/34/35</t>
  </si>
  <si>
    <t>#40 (sick)</t>
  </si>
  <si>
    <t>01281000/01/02</t>
  </si>
  <si>
    <t>01281003/04/05</t>
  </si>
  <si>
    <t>01281006/07/08</t>
  </si>
  <si>
    <t>01281009/10/11</t>
  </si>
  <si>
    <t>01281012/13/14</t>
  </si>
  <si>
    <t>01281021/22/23</t>
  </si>
  <si>
    <t>Mini frequency</t>
  </si>
  <si>
    <t>02171000/01/02</t>
  </si>
  <si>
    <t>02171003/04/05</t>
  </si>
  <si>
    <t>012171006/07/08</t>
  </si>
  <si>
    <t>02171009/10/11</t>
  </si>
  <si>
    <t>02171012/13/14</t>
  </si>
  <si>
    <t>02171015/16/17</t>
  </si>
  <si>
    <t>02171018/19/20</t>
  </si>
  <si>
    <t>02171021/22/23</t>
  </si>
  <si>
    <t>02171024/25/26</t>
  </si>
  <si>
    <t>02171027/28/29</t>
  </si>
  <si>
    <t>02171030/31/32</t>
  </si>
  <si>
    <t>02171033/34/35</t>
  </si>
  <si>
    <t>#24</t>
  </si>
  <si>
    <t>#25</t>
  </si>
  <si>
    <t>02181000/01/02</t>
  </si>
  <si>
    <t>02181003/04/05</t>
  </si>
  <si>
    <t>02181006/07/08</t>
  </si>
  <si>
    <t>02181009/10/11</t>
  </si>
  <si>
    <t>02181012/13/14</t>
  </si>
  <si>
    <t>02181015/16/17</t>
  </si>
  <si>
    <t>02181018/19/20</t>
  </si>
  <si>
    <t>02181021/22/23</t>
  </si>
  <si>
    <t>02181024/25/26</t>
  </si>
  <si>
    <t>02181027/28/29</t>
  </si>
  <si>
    <t>02181030/31/32</t>
  </si>
  <si>
    <t>02181033/34/35</t>
  </si>
  <si>
    <t>01121000/01/02</t>
  </si>
  <si>
    <t>01121003/04/05</t>
  </si>
  <si>
    <t>01121006/07/08</t>
  </si>
  <si>
    <t>01121009/10/11</t>
  </si>
  <si>
    <t>01121015/16/17</t>
  </si>
  <si>
    <t>01121018/19/20</t>
  </si>
  <si>
    <t>01121021/22/23</t>
  </si>
  <si>
    <t>01121024/25/26</t>
  </si>
  <si>
    <t>#44</t>
  </si>
  <si>
    <t>#11</t>
  </si>
  <si>
    <t>01131000/01/02</t>
  </si>
  <si>
    <t>01131003/05/06</t>
  </si>
  <si>
    <t>01131007/08/09</t>
  </si>
  <si>
    <t>01131010/11/12</t>
  </si>
  <si>
    <t>01131013/14/15</t>
  </si>
  <si>
    <t>01131019/20/21</t>
  </si>
  <si>
    <t>01131022/23/24</t>
  </si>
  <si>
    <t>01131025/26/27</t>
  </si>
  <si>
    <t>01131028/29/30</t>
  </si>
  <si>
    <t>01131031/32/33</t>
  </si>
  <si>
    <t>01131034/35/36</t>
  </si>
  <si>
    <t>#26</t>
  </si>
  <si>
    <t>02221000/01/02</t>
  </si>
  <si>
    <t>02221003/04/05</t>
  </si>
  <si>
    <t>02221006/07/08</t>
  </si>
  <si>
    <t>02221009/10/11</t>
  </si>
  <si>
    <t>02221012/13/14</t>
  </si>
  <si>
    <t>02221015/16/17</t>
  </si>
  <si>
    <t>02221018/19/20</t>
  </si>
  <si>
    <t>02221021/22/23</t>
  </si>
  <si>
    <t>02221024/25/26</t>
  </si>
  <si>
    <t>02221027/28/29</t>
  </si>
  <si>
    <t>02221031/32/33</t>
  </si>
  <si>
    <t>02221034/35/36</t>
  </si>
  <si>
    <t>#27</t>
  </si>
  <si>
    <t>02231000/03/04</t>
  </si>
  <si>
    <t>02231005/06/07</t>
  </si>
  <si>
    <t>02231008/09/10</t>
  </si>
  <si>
    <t>02231011/12/13</t>
  </si>
  <si>
    <t>02231014/15/16</t>
  </si>
  <si>
    <t>02231017/18/19</t>
  </si>
  <si>
    <t>02231020/11/22</t>
  </si>
  <si>
    <t>02231023/24/25</t>
  </si>
  <si>
    <t>02231026/27/28</t>
  </si>
  <si>
    <t>02231029/30/31</t>
  </si>
  <si>
    <t>02231032/33/34</t>
  </si>
  <si>
    <t>02231035/36/37</t>
  </si>
  <si>
    <t>02241000/01/02</t>
  </si>
  <si>
    <t>02241003/04/05</t>
  </si>
  <si>
    <t>02241006/07/08</t>
  </si>
  <si>
    <t>02241009/10/11</t>
  </si>
  <si>
    <t>02241012/13/14</t>
  </si>
  <si>
    <t>02241015/16/17</t>
  </si>
  <si>
    <t>02241018/19/20</t>
  </si>
  <si>
    <t>02241021/22/23</t>
  </si>
  <si>
    <t>02241024/25/26</t>
  </si>
  <si>
    <t>02241027/28/29</t>
  </si>
  <si>
    <t>02241030/31/32</t>
  </si>
  <si>
    <t>02241033/34/35</t>
  </si>
  <si>
    <t>#41</t>
  </si>
  <si>
    <t>01132000/01/02</t>
  </si>
  <si>
    <t>01132003/04/05</t>
  </si>
  <si>
    <t>01132006/07/08</t>
  </si>
  <si>
    <t>01132009/10/11</t>
  </si>
  <si>
    <t>01132012/13/14</t>
  </si>
  <si>
    <t>01132015/16/17</t>
  </si>
  <si>
    <t>01132018/19/20</t>
  </si>
  <si>
    <t>01132021/22/23</t>
  </si>
  <si>
    <t>01132024/25/26</t>
  </si>
  <si>
    <t>01132027/28/29</t>
  </si>
  <si>
    <t>skipped first 30 sec b/c wavy</t>
  </si>
  <si>
    <t>01132030/31/32</t>
  </si>
  <si>
    <t>01132033/34/35</t>
  </si>
  <si>
    <t>01262000/01/02</t>
  </si>
  <si>
    <t>01262003/04/05</t>
  </si>
  <si>
    <t>these minis are enormous</t>
  </si>
  <si>
    <t>01262006/07/08</t>
  </si>
  <si>
    <t>slightly noisy</t>
  </si>
  <si>
    <t>01262009/10/11</t>
  </si>
  <si>
    <t>01262015/16/17</t>
  </si>
  <si>
    <t>01262018/19/20</t>
  </si>
  <si>
    <t>01262021/22/23</t>
  </si>
  <si>
    <t>started using new electrode</t>
  </si>
  <si>
    <t>01262025/26/28</t>
  </si>
  <si>
    <t>01262029/30/31</t>
  </si>
  <si>
    <t>weird spike pattern in mini</t>
  </si>
  <si>
    <t>01262032/33/34</t>
  </si>
  <si>
    <t>small minis</t>
  </si>
  <si>
    <t>01262035/36/37</t>
  </si>
  <si>
    <t>01262038/39/40</t>
  </si>
  <si>
    <t>01262041/42/43</t>
  </si>
  <si>
    <t>02022000/01/02</t>
  </si>
  <si>
    <t>02022004/05/06</t>
  </si>
  <si>
    <t>02022007/08/09</t>
  </si>
  <si>
    <t>02022010/11/12</t>
  </si>
  <si>
    <t>super long file, errors in between</t>
  </si>
  <si>
    <t>02022013/14/15</t>
  </si>
  <si>
    <t>02022016/17/18</t>
  </si>
  <si>
    <t>If extra pics needed, check times between 0-0.5 seconds</t>
  </si>
  <si>
    <t>02022019/20/21</t>
  </si>
  <si>
    <t>offset: 11.9</t>
  </si>
  <si>
    <t>02022022/23/24</t>
  </si>
  <si>
    <t>02022025/26/27</t>
  </si>
  <si>
    <t>02022028/29/30</t>
  </si>
  <si>
    <t>02022031/32/33</t>
  </si>
  <si>
    <t>02022034/35/36</t>
  </si>
  <si>
    <t>02022040/41/42</t>
  </si>
  <si>
    <t>02022043/44/45</t>
  </si>
  <si>
    <t xml:space="preserve">only 9 train </t>
  </si>
  <si>
    <t>02022046/47/48</t>
  </si>
  <si>
    <t>02082000/01/02</t>
  </si>
  <si>
    <t>really good minis for pictures</t>
  </si>
  <si>
    <t>02082003/04/05</t>
  </si>
  <si>
    <t>02082006/07/08</t>
  </si>
  <si>
    <t>02082009/10/11</t>
  </si>
  <si>
    <t>02082012/13/14</t>
  </si>
  <si>
    <t>02082015/16/17</t>
  </si>
  <si>
    <t>weird kinetics</t>
  </si>
  <si>
    <t>02082018/19/20</t>
  </si>
  <si>
    <t>02082021/22/23</t>
  </si>
  <si>
    <t>02082024/25/26</t>
  </si>
  <si>
    <t>02082027/28/29</t>
  </si>
  <si>
    <t>02082030/31/32</t>
  </si>
  <si>
    <t>02092000/01/02</t>
  </si>
  <si>
    <t>good minis to take pics from</t>
  </si>
  <si>
    <t>02092003/04/05</t>
  </si>
  <si>
    <t>wavy and small minis</t>
  </si>
  <si>
    <t>02092006/07/08</t>
  </si>
  <si>
    <t>offset: -13.2</t>
  </si>
  <si>
    <t>02092009/10/11</t>
  </si>
  <si>
    <t>02092012/13/14</t>
  </si>
  <si>
    <t>02092015/16/17</t>
  </si>
  <si>
    <t>02092018/19/20</t>
  </si>
  <si>
    <t>small minis, harder to read</t>
  </si>
  <si>
    <t>02092021/22/23</t>
  </si>
  <si>
    <t>02092024/25/26</t>
  </si>
  <si>
    <t>02092027/28/29</t>
  </si>
  <si>
    <t xml:space="preserve"> </t>
  </si>
  <si>
    <t>02092030/31/32</t>
  </si>
  <si>
    <t>02092033/34/35</t>
  </si>
  <si>
    <t>02092036/37/38</t>
  </si>
  <si>
    <t>02092039/40/41</t>
  </si>
  <si>
    <t>02192000/01/02</t>
  </si>
  <si>
    <t>02192003/04/05</t>
  </si>
  <si>
    <t>02192006/07/08</t>
  </si>
  <si>
    <t>02192009/10/11</t>
  </si>
  <si>
    <t>02192012/13/14</t>
  </si>
  <si>
    <t>02192015/16/17</t>
  </si>
  <si>
    <t>02192018/19/20</t>
  </si>
  <si>
    <t>02192021/22/23</t>
  </si>
  <si>
    <t>02192024/25/26</t>
  </si>
  <si>
    <t>02192027/28/29</t>
  </si>
  <si>
    <t>02192030/31/32</t>
  </si>
  <si>
    <t>02192033/34/35</t>
  </si>
  <si>
    <t>02202000/01/02</t>
  </si>
  <si>
    <t>noisy, offset: -6.2, only 9 train</t>
  </si>
  <si>
    <t>02202003/04/05</t>
  </si>
  <si>
    <t>only 9 train</t>
  </si>
  <si>
    <t>02202006/07/08</t>
  </si>
  <si>
    <t>02202009/10/11</t>
  </si>
  <si>
    <t>02202012/13/14</t>
  </si>
  <si>
    <t>02202015/16/17</t>
  </si>
  <si>
    <t>02202018/19/20</t>
  </si>
  <si>
    <t>Offset: 11.8</t>
  </si>
  <si>
    <t>02202021/22/23</t>
  </si>
  <si>
    <t>02202024/25/26</t>
  </si>
  <si>
    <t>02202027/28/29</t>
  </si>
  <si>
    <t>02202030/31/32</t>
  </si>
  <si>
    <t>033022000/03/04</t>
  </si>
  <si>
    <t>033022005/06/08</t>
  </si>
  <si>
    <t>delete low RPs</t>
  </si>
  <si>
    <t>033022009/10/11</t>
  </si>
  <si>
    <t>033022012/13/14</t>
  </si>
  <si>
    <t>033022015/16/17</t>
  </si>
  <si>
    <t>033022018/19/20</t>
  </si>
  <si>
    <t>033022021/22/23</t>
  </si>
  <si>
    <t>033022024/25/26</t>
  </si>
  <si>
    <t>033022027/28/29</t>
  </si>
  <si>
    <t>033022030/31/32</t>
  </si>
  <si>
    <t>033022033/34/35</t>
  </si>
  <si>
    <t>033022036/37/38</t>
  </si>
  <si>
    <t>small minis, big fiber</t>
  </si>
  <si>
    <t>Young-Middle Age(4-18)</t>
  </si>
  <si>
    <t>Early Aging(19-24)</t>
  </si>
  <si>
    <t>Later Aging(25-30)</t>
  </si>
  <si>
    <t>Everything</t>
  </si>
  <si>
    <t>4 through 6</t>
  </si>
  <si>
    <t>7 through 9</t>
  </si>
  <si>
    <t>10 through 12</t>
  </si>
  <si>
    <t>13 through 15</t>
  </si>
  <si>
    <t>16 through 18</t>
  </si>
  <si>
    <t>22 through 24</t>
  </si>
  <si>
    <t>19 through 21</t>
  </si>
  <si>
    <t>25 through 27</t>
  </si>
  <si>
    <t>28 through 30</t>
  </si>
  <si>
    <t>AVERAGES:</t>
  </si>
  <si>
    <t>May.22.02</t>
  </si>
  <si>
    <t>May.22.03</t>
  </si>
  <si>
    <t>May.22.04</t>
  </si>
  <si>
    <t>May.22.01</t>
  </si>
  <si>
    <t>0521000/01/02</t>
  </si>
  <si>
    <t>0521003/04/05</t>
  </si>
  <si>
    <t>0521008/09/10</t>
  </si>
  <si>
    <t>0521011/12/13</t>
  </si>
  <si>
    <t>0521014/15/17</t>
  </si>
  <si>
    <t>0521018/19/20</t>
  </si>
  <si>
    <t>05222000/01/02</t>
  </si>
  <si>
    <t>05222003/04/05</t>
  </si>
  <si>
    <t>05222010/11/12</t>
  </si>
  <si>
    <t>05222013/14/15</t>
  </si>
  <si>
    <t>05222016/17/18</t>
  </si>
  <si>
    <t>05222019/20/21</t>
  </si>
  <si>
    <t>05222022/23/24</t>
  </si>
  <si>
    <t>05222029/30/31</t>
  </si>
  <si>
    <t>05222025/26/28</t>
  </si>
  <si>
    <t>05222032/33/34</t>
  </si>
  <si>
    <t>05222035/36/37</t>
  </si>
  <si>
    <t>05232000/01/02</t>
  </si>
  <si>
    <t>05232006/07/08</t>
  </si>
  <si>
    <t>05242000/01/02</t>
  </si>
  <si>
    <t>05232030/31/32</t>
  </si>
  <si>
    <t>05232033/34/35</t>
  </si>
  <si>
    <t>05232036/37/38</t>
  </si>
  <si>
    <t>05232012/13/14</t>
  </si>
  <si>
    <t>05232015/16/17</t>
  </si>
  <si>
    <t>05232018/19/20</t>
  </si>
  <si>
    <t>05232021/22/23</t>
  </si>
  <si>
    <t>05232024/25/26</t>
  </si>
  <si>
    <t>05232027/28/29</t>
  </si>
  <si>
    <t>There is another animal that could potentially be analyzed</t>
  </si>
  <si>
    <t>Jan.22.02</t>
  </si>
  <si>
    <t>Variable</t>
  </si>
  <si>
    <t>Variable name</t>
  </si>
  <si>
    <t>Measurement unit</t>
  </si>
  <si>
    <t>Allowed Values</t>
  </si>
  <si>
    <t>Description</t>
  </si>
  <si>
    <t>Date of the recording</t>
  </si>
  <si>
    <t>Cell number</t>
  </si>
  <si>
    <t>Clampfit file number</t>
  </si>
  <si>
    <t>Resting Potential</t>
  </si>
  <si>
    <t>Miniature end plate potential</t>
  </si>
  <si>
    <t>Rise time of the mEPP</t>
  </si>
  <si>
    <t>Decay time of the mEPP</t>
  </si>
  <si>
    <t>End plate poential</t>
  </si>
  <si>
    <t>Rise time of the EPP</t>
  </si>
  <si>
    <t>Decay time of the EPP</t>
  </si>
  <si>
    <t>Corrected EPP amplitude</t>
  </si>
  <si>
    <t>Raw train stimulation data</t>
  </si>
  <si>
    <t>Train stimulation data normalized by the 1st stimulus</t>
  </si>
  <si>
    <t>Date of the experiment</t>
  </si>
  <si>
    <t>Strings</t>
  </si>
  <si>
    <t>Data file names</t>
  </si>
  <si>
    <t>Name of the electrophysiology data file</t>
  </si>
  <si>
    <t>Numeric</t>
  </si>
  <si>
    <t>1-30</t>
  </si>
  <si>
    <t>ID number of the cell recorded</t>
  </si>
  <si>
    <t>mV</t>
  </si>
  <si>
    <t>-90--40</t>
  </si>
  <si>
    <t>Resting membrane potential</t>
  </si>
  <si>
    <t>0-10</t>
  </si>
  <si>
    <t>Peak amplitude of the miniature end plate potential</t>
  </si>
  <si>
    <t>0-99</t>
  </si>
  <si>
    <t>Millisecond</t>
  </si>
  <si>
    <t>Rise time of the miniature end plate potential</t>
  </si>
  <si>
    <t>Decay time of the miniature end plate potential</t>
  </si>
  <si>
    <t>Rise time of the end plate potential</t>
  </si>
  <si>
    <t>Decay time of the end plate potential</t>
  </si>
  <si>
    <t>Peak amplitude of the end plate potential</t>
  </si>
  <si>
    <t>Corrected peak amplitude of the end plate potential due to non-linear summation</t>
  </si>
  <si>
    <t>0-999</t>
  </si>
  <si>
    <t>Quantal content</t>
  </si>
  <si>
    <t>Quantal content at the neuromuscular junction</t>
  </si>
  <si>
    <t>End plate potential after each train stimulation</t>
  </si>
  <si>
    <t>0-2</t>
  </si>
  <si>
    <t>Ratio of the end plate potential after each stimulus to the 1st stimulus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</si>
</sst>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1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2" fillId="0" borderId="1" xfId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3" fillId="2" borderId="0" xfId="2"/>
    <xf numFmtId="0" fontId="0" fillId="5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center" wrapText="1"/>
    </xf>
    <xf numFmtId="0" fontId="0" fillId="6" borderId="0" xfId="0" applyFill="1"/>
    <xf numFmtId="0" fontId="1" fillId="3" borderId="0" xfId="3"/>
    <xf numFmtId="0" fontId="1" fillId="4" borderId="0" xfId="4"/>
    <xf numFmtId="0" fontId="8" fillId="0" borderId="0" xfId="0" applyFont="1"/>
    <xf numFmtId="0" fontId="9" fillId="0" borderId="0" xfId="0" applyFont="1"/>
    <xf numFmtId="0" fontId="0" fillId="0" borderId="0" xfId="0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10" fillId="7" borderId="0" xfId="5"/>
    <xf numFmtId="0" fontId="11" fillId="8" borderId="0" xfId="6"/>
    <xf numFmtId="0" fontId="1" fillId="9" borderId="0" xfId="7"/>
    <xf numFmtId="0" fontId="0" fillId="9" borderId="0" xfId="7" applyFont="1"/>
    <xf numFmtId="16" fontId="4" fillId="0" borderId="0" xfId="0" applyNumberFormat="1" applyFont="1"/>
    <xf numFmtId="49" fontId="0" fillId="0" borderId="0" xfId="0" applyNumberFormat="1" applyAlignment="1">
      <alignment horizontal="center"/>
    </xf>
  </cellXfs>
  <cellStyles count="8">
    <cellStyle name="40% - Accent1" xfId="7" builtinId="31"/>
    <cellStyle name="60% - Accent1" xfId="3" builtinId="32"/>
    <cellStyle name="60% - Accent2" xfId="4" builtinId="36"/>
    <cellStyle name="Bad" xfId="2" builtinId="27"/>
    <cellStyle name="Good" xfId="5" builtinId="26"/>
    <cellStyle name="Heading 1" xfId="1" builtinId="16"/>
    <cellStyle name="Neutral" xfId="6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94CE-EFDE-41F8-8522-83CE540BEA6A}">
  <dimension ref="A1:E15"/>
  <sheetViews>
    <sheetView tabSelected="1" workbookViewId="0">
      <selection activeCell="B17" sqref="B17"/>
    </sheetView>
  </sheetViews>
  <sheetFormatPr defaultRowHeight="15" x14ac:dyDescent="0.25"/>
  <cols>
    <col min="1" max="1" width="49" bestFit="1" customWidth="1"/>
    <col min="2" max="2" width="19.85546875" bestFit="1" customWidth="1"/>
    <col min="3" max="3" width="17.85546875" bestFit="1" customWidth="1"/>
    <col min="4" max="4" width="15" bestFit="1" customWidth="1"/>
    <col min="5" max="5" width="75.7109375" bestFit="1" customWidth="1"/>
  </cols>
  <sheetData>
    <row r="1" spans="1:5" x14ac:dyDescent="0.25">
      <c r="A1" s="3" t="s">
        <v>922</v>
      </c>
      <c r="B1" s="3" t="s">
        <v>923</v>
      </c>
      <c r="C1" s="3" t="s">
        <v>924</v>
      </c>
      <c r="D1" s="3" t="s">
        <v>925</v>
      </c>
      <c r="E1" s="3" t="s">
        <v>926</v>
      </c>
    </row>
    <row r="2" spans="1:5" x14ac:dyDescent="0.25">
      <c r="A2" s="1" t="s">
        <v>927</v>
      </c>
      <c r="B2" s="1" t="s">
        <v>3</v>
      </c>
      <c r="C2" s="1" t="s">
        <v>3</v>
      </c>
      <c r="D2" s="1" t="s">
        <v>3</v>
      </c>
      <c r="E2" s="1" t="s">
        <v>940</v>
      </c>
    </row>
    <row r="3" spans="1:5" x14ac:dyDescent="0.25">
      <c r="A3" s="1" t="s">
        <v>929</v>
      </c>
      <c r="B3" s="1" t="s">
        <v>4</v>
      </c>
      <c r="C3" s="1" t="s">
        <v>941</v>
      </c>
      <c r="D3" s="1" t="s">
        <v>942</v>
      </c>
      <c r="E3" s="1" t="s">
        <v>943</v>
      </c>
    </row>
    <row r="4" spans="1:5" x14ac:dyDescent="0.25">
      <c r="A4" s="1" t="s">
        <v>928</v>
      </c>
      <c r="B4" s="1" t="s">
        <v>5</v>
      </c>
      <c r="C4" s="1" t="s">
        <v>944</v>
      </c>
      <c r="D4" s="35" t="s">
        <v>945</v>
      </c>
      <c r="E4" s="1" t="s">
        <v>946</v>
      </c>
    </row>
    <row r="5" spans="1:5" x14ac:dyDescent="0.25">
      <c r="A5" s="1" t="s">
        <v>930</v>
      </c>
      <c r="B5" s="1" t="s">
        <v>6</v>
      </c>
      <c r="C5" s="1" t="s">
        <v>947</v>
      </c>
      <c r="D5" s="35" t="s">
        <v>948</v>
      </c>
      <c r="E5" s="1" t="s">
        <v>949</v>
      </c>
    </row>
    <row r="6" spans="1:5" x14ac:dyDescent="0.25">
      <c r="A6" s="1" t="s">
        <v>931</v>
      </c>
      <c r="B6" s="1" t="s">
        <v>7</v>
      </c>
      <c r="C6" s="1" t="s">
        <v>947</v>
      </c>
      <c r="D6" s="35" t="s">
        <v>950</v>
      </c>
      <c r="E6" s="1" t="s">
        <v>951</v>
      </c>
    </row>
    <row r="7" spans="1:5" x14ac:dyDescent="0.25">
      <c r="A7" s="1" t="s">
        <v>932</v>
      </c>
      <c r="B7" s="1" t="s">
        <v>596</v>
      </c>
      <c r="C7" s="1" t="s">
        <v>953</v>
      </c>
      <c r="D7" s="35" t="s">
        <v>952</v>
      </c>
      <c r="E7" s="1" t="s">
        <v>954</v>
      </c>
    </row>
    <row r="8" spans="1:5" x14ac:dyDescent="0.25">
      <c r="A8" s="1" t="s">
        <v>933</v>
      </c>
      <c r="B8" s="1" t="s">
        <v>553</v>
      </c>
      <c r="C8" s="1" t="s">
        <v>953</v>
      </c>
      <c r="D8" s="35" t="s">
        <v>952</v>
      </c>
      <c r="E8" s="1" t="s">
        <v>955</v>
      </c>
    </row>
    <row r="9" spans="1:5" x14ac:dyDescent="0.25">
      <c r="A9" s="1" t="s">
        <v>934</v>
      </c>
      <c r="B9" s="1" t="s">
        <v>8</v>
      </c>
      <c r="C9" s="1" t="s">
        <v>947</v>
      </c>
      <c r="D9" s="35" t="s">
        <v>952</v>
      </c>
      <c r="E9" s="1" t="s">
        <v>958</v>
      </c>
    </row>
    <row r="10" spans="1:5" x14ac:dyDescent="0.25">
      <c r="A10" s="1" t="s">
        <v>935</v>
      </c>
      <c r="B10" s="1" t="s">
        <v>596</v>
      </c>
      <c r="C10" s="1" t="s">
        <v>953</v>
      </c>
      <c r="D10" s="35" t="s">
        <v>952</v>
      </c>
      <c r="E10" s="1" t="s">
        <v>956</v>
      </c>
    </row>
    <row r="11" spans="1:5" x14ac:dyDescent="0.25">
      <c r="A11" s="1" t="s">
        <v>936</v>
      </c>
      <c r="B11" s="1" t="s">
        <v>553</v>
      </c>
      <c r="C11" s="1" t="s">
        <v>953</v>
      </c>
      <c r="D11" s="35" t="s">
        <v>952</v>
      </c>
      <c r="E11" s="1" t="s">
        <v>957</v>
      </c>
    </row>
    <row r="12" spans="1:5" x14ac:dyDescent="0.25">
      <c r="A12" s="1" t="s">
        <v>937</v>
      </c>
      <c r="B12" s="1" t="s">
        <v>9</v>
      </c>
      <c r="C12" s="1" t="s">
        <v>947</v>
      </c>
      <c r="D12" s="35" t="s">
        <v>952</v>
      </c>
      <c r="E12" s="1" t="s">
        <v>959</v>
      </c>
    </row>
    <row r="13" spans="1:5" x14ac:dyDescent="0.25">
      <c r="A13" s="1" t="s">
        <v>961</v>
      </c>
      <c r="B13" s="1" t="s">
        <v>10</v>
      </c>
      <c r="C13" s="1" t="s">
        <v>944</v>
      </c>
      <c r="D13" s="35" t="s">
        <v>960</v>
      </c>
      <c r="E13" s="1" t="s">
        <v>962</v>
      </c>
    </row>
    <row r="14" spans="1:5" x14ac:dyDescent="0.25">
      <c r="A14" s="1" t="s">
        <v>938</v>
      </c>
      <c r="B14" s="1" t="s">
        <v>470</v>
      </c>
      <c r="C14" s="1" t="s">
        <v>947</v>
      </c>
      <c r="D14" s="35" t="s">
        <v>952</v>
      </c>
      <c r="E14" s="1" t="s">
        <v>963</v>
      </c>
    </row>
    <row r="15" spans="1:5" x14ac:dyDescent="0.25">
      <c r="A15" s="1" t="s">
        <v>939</v>
      </c>
      <c r="B15" s="1" t="s">
        <v>471</v>
      </c>
      <c r="C15" s="1" t="s">
        <v>944</v>
      </c>
      <c r="D15" s="35" t="s">
        <v>964</v>
      </c>
      <c r="E15" s="1" t="s">
        <v>965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3AAB8-089E-4D3D-A4FB-6D2716300999}">
  <dimension ref="A1:AJ41"/>
  <sheetViews>
    <sheetView topLeftCell="L3" workbookViewId="0">
      <selection activeCell="AC11" sqref="AC11:AC34"/>
    </sheetView>
  </sheetViews>
  <sheetFormatPr defaultRowHeight="15" x14ac:dyDescent="0.25"/>
  <sheetData>
    <row r="1" spans="1:36" x14ac:dyDescent="0.25">
      <c r="A1" s="4" t="s">
        <v>2</v>
      </c>
      <c r="B1" s="5"/>
      <c r="O1" s="6"/>
    </row>
    <row r="2" spans="1:36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t="s">
        <v>36</v>
      </c>
      <c r="G2" t="s">
        <v>553</v>
      </c>
      <c r="H2" s="7" t="s">
        <v>8</v>
      </c>
      <c r="I2" t="s">
        <v>36</v>
      </c>
      <c r="J2" t="s">
        <v>553</v>
      </c>
      <c r="K2" s="7" t="s">
        <v>9</v>
      </c>
      <c r="L2" s="7" t="s">
        <v>10</v>
      </c>
      <c r="M2" s="8" t="s">
        <v>79</v>
      </c>
      <c r="N2" t="s">
        <v>110</v>
      </c>
      <c r="P2" t="s">
        <v>470</v>
      </c>
      <c r="AA2" t="s">
        <v>471</v>
      </c>
    </row>
    <row r="3" spans="1:36" x14ac:dyDescent="0.25">
      <c r="A3" s="28"/>
      <c r="B3" s="29"/>
      <c r="C3" s="28"/>
      <c r="D3" s="28"/>
      <c r="E3" s="28"/>
      <c r="H3" s="28"/>
      <c r="K3" s="28"/>
      <c r="L3" s="28"/>
      <c r="M3" s="29"/>
      <c r="P3" t="s">
        <v>395</v>
      </c>
      <c r="Q3">
        <v>2</v>
      </c>
      <c r="R3">
        <v>3</v>
      </c>
      <c r="S3">
        <v>4</v>
      </c>
      <c r="T3">
        <v>5</v>
      </c>
      <c r="U3">
        <v>6</v>
      </c>
      <c r="V3">
        <v>7</v>
      </c>
      <c r="W3">
        <v>8</v>
      </c>
      <c r="X3">
        <v>9</v>
      </c>
      <c r="Y3">
        <v>10</v>
      </c>
      <c r="AA3" t="s">
        <v>395</v>
      </c>
      <c r="AB3">
        <v>2</v>
      </c>
      <c r="AC3">
        <v>3</v>
      </c>
      <c r="AD3">
        <v>4</v>
      </c>
      <c r="AE3">
        <v>5</v>
      </c>
      <c r="AF3">
        <v>6</v>
      </c>
      <c r="AG3">
        <v>7</v>
      </c>
      <c r="AH3">
        <v>8</v>
      </c>
      <c r="AI3">
        <v>9</v>
      </c>
      <c r="AJ3">
        <v>10</v>
      </c>
    </row>
    <row r="4" spans="1:36" x14ac:dyDescent="0.25">
      <c r="A4" s="9">
        <v>42786</v>
      </c>
      <c r="B4" t="s">
        <v>80</v>
      </c>
      <c r="C4">
        <v>1</v>
      </c>
      <c r="D4">
        <v>-63.9</v>
      </c>
      <c r="E4">
        <v>0.153534</v>
      </c>
      <c r="H4">
        <v>11.2903</v>
      </c>
      <c r="K4">
        <f t="shared" ref="K4:K9" si="0">H4/(1-(0.8*(H4/(ABS(D4)))))</f>
        <v>13.148890532436535</v>
      </c>
      <c r="L4">
        <f>K4/E4</f>
        <v>85.641555176290169</v>
      </c>
    </row>
    <row r="5" spans="1:36" x14ac:dyDescent="0.25">
      <c r="B5" t="s">
        <v>81</v>
      </c>
      <c r="C5">
        <v>2</v>
      </c>
      <c r="D5">
        <v>-69.8</v>
      </c>
      <c r="E5">
        <v>0.208234</v>
      </c>
      <c r="H5">
        <v>11.394600000000001</v>
      </c>
      <c r="K5">
        <f t="shared" si="0"/>
        <v>13.106236998288852</v>
      </c>
      <c r="L5">
        <f t="shared" ref="L5:L9" si="1">K5/E5</f>
        <v>62.939947358687107</v>
      </c>
    </row>
    <row r="6" spans="1:36" x14ac:dyDescent="0.25">
      <c r="B6" t="s">
        <v>82</v>
      </c>
      <c r="C6">
        <v>11</v>
      </c>
      <c r="D6">
        <v>-63.3</v>
      </c>
      <c r="E6">
        <v>0.23817099999999999</v>
      </c>
      <c r="H6">
        <v>16.626100000000001</v>
      </c>
      <c r="K6">
        <f t="shared" si="0"/>
        <v>21.049013062629903</v>
      </c>
      <c r="L6">
        <f t="shared" si="1"/>
        <v>88.377733068383236</v>
      </c>
    </row>
    <row r="7" spans="1:36" x14ac:dyDescent="0.25">
      <c r="B7" t="s">
        <v>83</v>
      </c>
      <c r="C7">
        <v>14</v>
      </c>
      <c r="D7">
        <v>-64.3</v>
      </c>
      <c r="E7">
        <v>0.27236900000000003</v>
      </c>
      <c r="H7">
        <v>19.3978</v>
      </c>
      <c r="K7">
        <f t="shared" si="0"/>
        <v>25.568543242392241</v>
      </c>
      <c r="L7">
        <f t="shared" si="1"/>
        <v>93.874645214368144</v>
      </c>
    </row>
    <row r="8" spans="1:36" x14ac:dyDescent="0.25">
      <c r="B8" t="s">
        <v>84</v>
      </c>
      <c r="C8">
        <v>15</v>
      </c>
      <c r="D8">
        <v>-61.6</v>
      </c>
      <c r="E8">
        <v>0.18062900000000001</v>
      </c>
      <c r="H8">
        <v>14.0366</v>
      </c>
      <c r="K8">
        <f t="shared" si="0"/>
        <v>17.165816966682232</v>
      </c>
      <c r="L8">
        <f t="shared" si="1"/>
        <v>95.033560318012235</v>
      </c>
    </row>
    <row r="9" spans="1:36" x14ac:dyDescent="0.25">
      <c r="B9" t="s">
        <v>85</v>
      </c>
      <c r="C9">
        <v>16</v>
      </c>
      <c r="D9">
        <v>-65.3</v>
      </c>
      <c r="E9">
        <v>0.18740299999999999</v>
      </c>
      <c r="H9">
        <v>13.3162</v>
      </c>
      <c r="K9">
        <f t="shared" si="0"/>
        <v>15.912076116108027</v>
      </c>
      <c r="L9">
        <f t="shared" si="1"/>
        <v>84.908331862926573</v>
      </c>
    </row>
    <row r="11" spans="1:36" x14ac:dyDescent="0.25">
      <c r="A11" s="30"/>
      <c r="B11" s="30" t="s">
        <v>833</v>
      </c>
      <c r="C11" s="30">
        <v>1</v>
      </c>
      <c r="D11" s="30">
        <v>-81.89</v>
      </c>
      <c r="E11" s="30">
        <v>0.12993034720420801</v>
      </c>
      <c r="F11" s="30">
        <v>1.3698711395263601</v>
      </c>
      <c r="G11" s="30">
        <v>3.6684656143188401</v>
      </c>
      <c r="H11" s="30">
        <v>9.3236465454101491</v>
      </c>
      <c r="I11" s="30">
        <v>1.2033662796020499</v>
      </c>
      <c r="J11" s="30">
        <v>5.1795544624328604</v>
      </c>
      <c r="K11" s="30">
        <f t="shared" ref="K11:K22" si="2">H11/(1-(0.8*(H11/(ABS(D11)))))</f>
        <v>10.257991517171515</v>
      </c>
      <c r="L11" s="30">
        <f t="shared" ref="L11:L22" si="3">K11/E11</f>
        <v>78.949927695100413</v>
      </c>
      <c r="M11" s="30" t="s">
        <v>778</v>
      </c>
      <c r="N11" s="30"/>
      <c r="O11" s="30"/>
      <c r="P11" s="30">
        <v>8.9610595703125</v>
      </c>
      <c r="Q11" s="30">
        <v>11.0425567626953</v>
      </c>
      <c r="R11" s="30">
        <v>10.858116149902299</v>
      </c>
      <c r="S11" s="30">
        <v>11.2549514770507</v>
      </c>
      <c r="T11" s="30">
        <v>10.1184997558593</v>
      </c>
      <c r="U11" s="30">
        <v>10.480216979980399</v>
      </c>
      <c r="V11" s="30">
        <v>10.4952850341796</v>
      </c>
      <c r="W11" s="30">
        <v>9.33734130859375</v>
      </c>
      <c r="X11" s="30">
        <v>8.7652587890625</v>
      </c>
      <c r="Y11" s="30">
        <v>8.6164245605468697</v>
      </c>
      <c r="Z11" s="30"/>
      <c r="AA11" s="30">
        <f>P11/P11</f>
        <v>1</v>
      </c>
      <c r="AB11" s="30">
        <f>Q11/P11</f>
        <v>1.2322824857987427</v>
      </c>
      <c r="AC11" s="30">
        <f>R11/P11</f>
        <v>1.2117000299690723</v>
      </c>
      <c r="AD11" s="30">
        <f>S11/P11</f>
        <v>1.2559844501355328</v>
      </c>
      <c r="AE11" s="30">
        <f>T11/P11</f>
        <v>1.1291633178493017</v>
      </c>
      <c r="AF11" s="30">
        <f>U11/P11</f>
        <v>1.1695287703142589</v>
      </c>
      <c r="AG11" s="30">
        <f>V11/P11</f>
        <v>1.171210273944602</v>
      </c>
      <c r="AH11" s="30">
        <f>W11/P11</f>
        <v>1.0419907640752497</v>
      </c>
      <c r="AI11" s="30">
        <f>X11/P11</f>
        <v>0.9781498181421896</v>
      </c>
      <c r="AJ11" s="30">
        <f>Y11/P11</f>
        <v>0.96154081924559598</v>
      </c>
    </row>
    <row r="12" spans="1:36" x14ac:dyDescent="0.25">
      <c r="A12" s="30"/>
      <c r="B12" s="30" t="s">
        <v>834</v>
      </c>
      <c r="C12" s="30">
        <v>2</v>
      </c>
      <c r="D12" s="30">
        <v>-71.84</v>
      </c>
      <c r="E12" s="30">
        <v>0.32200187444686901</v>
      </c>
      <c r="F12" s="30">
        <v>0.84885692596435502</v>
      </c>
      <c r="G12" s="30">
        <v>4.4002003669738698</v>
      </c>
      <c r="H12" s="30">
        <v>20.892482757568299</v>
      </c>
      <c r="I12" s="30">
        <v>0.97561192512512196</v>
      </c>
      <c r="J12" s="30">
        <v>4.7909984588623002</v>
      </c>
      <c r="K12" s="30">
        <f t="shared" si="2"/>
        <v>27.226999704966087</v>
      </c>
      <c r="L12" s="30">
        <f t="shared" si="3"/>
        <v>84.555407485550518</v>
      </c>
      <c r="M12" s="30"/>
      <c r="N12" s="30"/>
      <c r="O12" s="30"/>
      <c r="P12" s="30">
        <v>21.9601020812988</v>
      </c>
      <c r="Q12" s="30">
        <v>22.9979934692382</v>
      </c>
      <c r="R12" s="30">
        <v>24.698978424072202</v>
      </c>
      <c r="S12" s="30">
        <v>23.934730529785099</v>
      </c>
      <c r="T12" s="30">
        <v>24.099899291992099</v>
      </c>
      <c r="U12" s="30">
        <v>23.9811096191406</v>
      </c>
      <c r="V12" s="30">
        <v>24.165920257568299</v>
      </c>
      <c r="W12" s="30">
        <v>22.179119110107401</v>
      </c>
      <c r="X12" s="30">
        <v>20.9159622192382</v>
      </c>
      <c r="Y12" s="30">
        <v>21.333900451660099</v>
      </c>
      <c r="Z12" s="30"/>
      <c r="AA12" s="30">
        <f t="shared" ref="AA12:AA22" si="4">P12/P12</f>
        <v>1</v>
      </c>
      <c r="AB12" s="30">
        <f t="shared" ref="AB12:AB22" si="5">Q12/P12</f>
        <v>1.0472625939577607</v>
      </c>
      <c r="AC12" s="30">
        <f t="shared" ref="AC12:AC22" si="6">R12/P12</f>
        <v>1.1247205651701331</v>
      </c>
      <c r="AD12" s="30">
        <f t="shared" ref="AD12:AD22" si="7">S12/P12</f>
        <v>1.0899189102662639</v>
      </c>
      <c r="AE12" s="30">
        <f t="shared" ref="AE12:AE22" si="8">T12/P12</f>
        <v>1.0974402214876564</v>
      </c>
      <c r="AF12" s="30">
        <f t="shared" ref="AF12:AF22" si="9">U12/P12</f>
        <v>1.0920308808383403</v>
      </c>
      <c r="AG12" s="30">
        <f t="shared" ref="AG12:AG22" si="10">V12/P12</f>
        <v>1.1004466267098081</v>
      </c>
      <c r="AH12" s="30">
        <f t="shared" ref="AH12:AH22" si="11">W12/P12</f>
        <v>1.0099734066807966</v>
      </c>
      <c r="AI12" s="30">
        <f t="shared" ref="AI12:AI22" si="12">X12/P12</f>
        <v>0.95245286847050736</v>
      </c>
      <c r="AJ12" s="30">
        <f t="shared" ref="AJ12:AJ22" si="13">Y12/P12</f>
        <v>0.97148457564903701</v>
      </c>
    </row>
    <row r="13" spans="1:36" x14ac:dyDescent="0.25">
      <c r="A13" s="30"/>
      <c r="B13" s="30" t="s">
        <v>835</v>
      </c>
      <c r="C13" s="30">
        <v>3</v>
      </c>
      <c r="D13" s="30">
        <v>-79.48</v>
      </c>
      <c r="E13" s="30">
        <v>0.16082592308521301</v>
      </c>
      <c r="F13" s="30">
        <v>0.978160560131073</v>
      </c>
      <c r="G13" s="30">
        <v>4.3365173339843697</v>
      </c>
      <c r="H13" s="30">
        <v>17.842170715331999</v>
      </c>
      <c r="I13" s="30">
        <v>1.0000017881393399</v>
      </c>
      <c r="J13" s="30">
        <v>4.8983640670776296</v>
      </c>
      <c r="K13" s="30">
        <f t="shared" si="2"/>
        <v>21.747845282166928</v>
      </c>
      <c r="L13" s="30">
        <f t="shared" si="3"/>
        <v>135.22599382590775</v>
      </c>
      <c r="M13" s="30"/>
      <c r="N13" s="30"/>
      <c r="O13" s="30"/>
      <c r="P13" s="30">
        <v>17.5670776367187</v>
      </c>
      <c r="Q13" s="30">
        <v>19.321979522705</v>
      </c>
      <c r="R13" s="30">
        <v>20.198585510253899</v>
      </c>
      <c r="S13" s="30">
        <v>19.874610900878899</v>
      </c>
      <c r="T13" s="30">
        <v>19.430671691894499</v>
      </c>
      <c r="U13" s="30">
        <v>18.170814514160099</v>
      </c>
      <c r="V13" s="30">
        <v>17.059970855712798</v>
      </c>
      <c r="W13" s="30">
        <v>16.988262176513601</v>
      </c>
      <c r="X13" s="30">
        <v>16.469627380371001</v>
      </c>
      <c r="Y13" s="30">
        <v>15.4286346435546</v>
      </c>
      <c r="Z13" s="30"/>
      <c r="AA13" s="30">
        <f t="shared" si="4"/>
        <v>1</v>
      </c>
      <c r="AB13" s="30">
        <f t="shared" si="5"/>
        <v>1.0998972010186945</v>
      </c>
      <c r="AC13" s="30">
        <f t="shared" si="6"/>
        <v>1.1497977027228947</v>
      </c>
      <c r="AD13" s="30">
        <f t="shared" si="7"/>
        <v>1.1313555567909026</v>
      </c>
      <c r="AE13" s="30">
        <f t="shared" si="8"/>
        <v>1.106084466279156</v>
      </c>
      <c r="AF13" s="30">
        <f t="shared" si="9"/>
        <v>1.0343675191700337</v>
      </c>
      <c r="AG13" s="30">
        <f t="shared" si="10"/>
        <v>0.97113311664622304</v>
      </c>
      <c r="AH13" s="30">
        <f t="shared" si="11"/>
        <v>0.96705112414399197</v>
      </c>
      <c r="AI13" s="30">
        <f t="shared" si="12"/>
        <v>0.93752801239667727</v>
      </c>
      <c r="AJ13" s="30">
        <f t="shared" si="13"/>
        <v>0.87826985014887582</v>
      </c>
    </row>
    <row r="14" spans="1:36" x14ac:dyDescent="0.25">
      <c r="A14" s="30"/>
      <c r="B14" s="30" t="s">
        <v>836</v>
      </c>
      <c r="C14" s="30">
        <v>4</v>
      </c>
      <c r="D14" s="30">
        <v>-81.19</v>
      </c>
      <c r="E14" s="30">
        <v>0.258776664733887</v>
      </c>
      <c r="F14" s="30">
        <v>0.99111580848693803</v>
      </c>
      <c r="G14" s="30">
        <v>4.9348406791687003</v>
      </c>
      <c r="H14" s="30">
        <v>17.86177444458</v>
      </c>
      <c r="I14" s="30">
        <v>1.1537774801254199</v>
      </c>
      <c r="J14" s="30">
        <v>4.9939260482787997</v>
      </c>
      <c r="K14" s="30">
        <f t="shared" si="2"/>
        <v>21.676904109405648</v>
      </c>
      <c r="L14" s="30">
        <f t="shared" si="3"/>
        <v>83.766842468957137</v>
      </c>
      <c r="M14" s="30"/>
      <c r="N14" s="30"/>
      <c r="O14" s="30"/>
      <c r="P14" s="30">
        <v>18.4331741333007</v>
      </c>
      <c r="Q14" s="30">
        <v>20.630203247070298</v>
      </c>
      <c r="R14" s="30">
        <v>20.084335327148398</v>
      </c>
      <c r="S14" s="30">
        <v>21.047245025634702</v>
      </c>
      <c r="T14" s="30">
        <v>20.356197357177699</v>
      </c>
      <c r="U14" s="30">
        <v>21.0752754211425</v>
      </c>
      <c r="V14" s="30">
        <v>20.384361267089801</v>
      </c>
      <c r="W14" s="30">
        <v>19.4711380004882</v>
      </c>
      <c r="X14" s="30">
        <v>18.747970581054599</v>
      </c>
      <c r="Y14" s="30">
        <v>17.425907135009702</v>
      </c>
      <c r="Z14" s="30"/>
      <c r="AA14" s="30">
        <f t="shared" si="4"/>
        <v>1</v>
      </c>
      <c r="AB14" s="30">
        <f t="shared" si="5"/>
        <v>1.1191888655682216</v>
      </c>
      <c r="AC14" s="30">
        <f t="shared" si="6"/>
        <v>1.0895755219316663</v>
      </c>
      <c r="AD14" s="30">
        <f t="shared" si="7"/>
        <v>1.1418133889166444</v>
      </c>
      <c r="AE14" s="30">
        <f t="shared" si="8"/>
        <v>1.1043240415335163</v>
      </c>
      <c r="AF14" s="30">
        <f t="shared" si="9"/>
        <v>1.1433340383341075</v>
      </c>
      <c r="AG14" s="30">
        <f t="shared" si="10"/>
        <v>1.1058519341096094</v>
      </c>
      <c r="AH14" s="30">
        <f t="shared" si="11"/>
        <v>1.0563095568718333</v>
      </c>
      <c r="AI14" s="30">
        <f t="shared" si="12"/>
        <v>1.0170777124697803</v>
      </c>
      <c r="AJ14" s="30">
        <f t="shared" si="13"/>
        <v>0.94535574877083672</v>
      </c>
    </row>
    <row r="15" spans="1:36" x14ac:dyDescent="0.25">
      <c r="A15" s="30"/>
      <c r="B15" s="30" t="s">
        <v>837</v>
      </c>
      <c r="C15" s="30">
        <v>5</v>
      </c>
      <c r="D15" s="30">
        <v>-80.11</v>
      </c>
      <c r="E15" s="30">
        <v>0.14816033840179399</v>
      </c>
      <c r="F15" s="30">
        <v>1.0749418735504099</v>
      </c>
      <c r="G15" s="30">
        <v>3.7427694797515798</v>
      </c>
      <c r="H15" s="30">
        <v>14.5499572753906</v>
      </c>
      <c r="I15" s="30">
        <v>1.19317591190338</v>
      </c>
      <c r="J15" s="30">
        <v>5.0464577674865696</v>
      </c>
      <c r="K15" s="30">
        <f t="shared" si="2"/>
        <v>17.023462764347936</v>
      </c>
      <c r="L15" s="30">
        <f t="shared" si="3"/>
        <v>114.89891929230238</v>
      </c>
      <c r="M15" s="30" t="s">
        <v>778</v>
      </c>
      <c r="N15" s="30"/>
      <c r="O15" s="30"/>
      <c r="P15" s="30">
        <v>14.4044876098632</v>
      </c>
      <c r="Q15" s="30">
        <v>16.311729431152301</v>
      </c>
      <c r="R15" s="30">
        <v>15.8547210693359</v>
      </c>
      <c r="S15" s="30">
        <v>16.0873908996582</v>
      </c>
      <c r="T15" s="30">
        <v>15.9931373596191</v>
      </c>
      <c r="U15" s="30">
        <v>15.0822029113769</v>
      </c>
      <c r="V15" s="30">
        <v>14.867122650146401</v>
      </c>
      <c r="W15" s="30">
        <v>13.9533920288085</v>
      </c>
      <c r="X15" s="30">
        <v>13.776756286621</v>
      </c>
      <c r="Y15" s="30">
        <v>13.465263366699199</v>
      </c>
      <c r="Z15" s="30"/>
      <c r="AA15" s="30">
        <f t="shared" si="4"/>
        <v>1</v>
      </c>
      <c r="AB15" s="30">
        <f t="shared" si="5"/>
        <v>1.132406085724504</v>
      </c>
      <c r="AC15" s="30">
        <f t="shared" si="6"/>
        <v>1.100679281259521</v>
      </c>
      <c r="AD15" s="30">
        <f t="shared" si="7"/>
        <v>1.116831874577938</v>
      </c>
      <c r="AE15" s="30">
        <f t="shared" si="8"/>
        <v>1.1102885290184221</v>
      </c>
      <c r="AF15" s="30">
        <f t="shared" si="9"/>
        <v>1.0470489003058774</v>
      </c>
      <c r="AG15" s="30">
        <f t="shared" si="10"/>
        <v>1.032117424292581</v>
      </c>
      <c r="AH15" s="30">
        <f t="shared" si="11"/>
        <v>0.96868367738774541</v>
      </c>
      <c r="AI15" s="30">
        <f t="shared" si="12"/>
        <v>0.95642112789819944</v>
      </c>
      <c r="AJ15" s="30">
        <f t="shared" si="13"/>
        <v>0.93479641424240012</v>
      </c>
    </row>
    <row r="16" spans="1:36" x14ac:dyDescent="0.25">
      <c r="A16" s="30"/>
      <c r="B16" s="30" t="s">
        <v>838</v>
      </c>
      <c r="C16" s="30">
        <v>6</v>
      </c>
      <c r="D16" s="30">
        <v>-76.48</v>
      </c>
      <c r="E16" s="30">
        <v>0.13632297515869099</v>
      </c>
      <c r="F16" s="30">
        <v>0.85947245359420799</v>
      </c>
      <c r="G16" s="30">
        <v>4.2380967140197701</v>
      </c>
      <c r="H16" s="30">
        <v>14.0371780395507</v>
      </c>
      <c r="I16" s="30">
        <v>1.2169499397277801</v>
      </c>
      <c r="J16" s="30">
        <v>5.0492811203002903</v>
      </c>
      <c r="K16" s="30">
        <f t="shared" si="2"/>
        <v>16.453013619756497</v>
      </c>
      <c r="L16" s="30">
        <f t="shared" si="3"/>
        <v>120.69142124138544</v>
      </c>
      <c r="M16" s="30" t="s">
        <v>778</v>
      </c>
      <c r="N16" s="30"/>
      <c r="O16" s="30"/>
      <c r="P16" s="30">
        <v>14.5075721740722</v>
      </c>
      <c r="Q16" s="30">
        <v>15.742855072021401</v>
      </c>
      <c r="R16" s="30">
        <v>15.2363777160644</v>
      </c>
      <c r="S16" s="30">
        <v>15.258693695068301</v>
      </c>
      <c r="T16" s="30">
        <v>14.1830940246582</v>
      </c>
      <c r="U16" s="30">
        <v>14.337169647216699</v>
      </c>
      <c r="V16" s="30">
        <v>13.498062133789</v>
      </c>
      <c r="W16" s="30">
        <v>13.413707733154199</v>
      </c>
      <c r="X16" s="30">
        <v>13.491451263427701</v>
      </c>
      <c r="Y16" s="30">
        <v>13.069236755371</v>
      </c>
      <c r="Z16" s="30"/>
      <c r="AA16" s="30">
        <f t="shared" si="4"/>
        <v>1</v>
      </c>
      <c r="AB16" s="30">
        <f t="shared" si="5"/>
        <v>1.085147458384311</v>
      </c>
      <c r="AC16" s="30">
        <f t="shared" si="6"/>
        <v>1.0502362168698849</v>
      </c>
      <c r="AD16" s="30">
        <f t="shared" si="7"/>
        <v>1.0517744466119905</v>
      </c>
      <c r="AE16" s="30">
        <f t="shared" si="8"/>
        <v>0.97763387660452905</v>
      </c>
      <c r="AF16" s="30">
        <f t="shared" si="9"/>
        <v>0.98825423545642999</v>
      </c>
      <c r="AG16" s="30">
        <f t="shared" si="10"/>
        <v>0.930414956536464</v>
      </c>
      <c r="AH16" s="30">
        <f t="shared" si="11"/>
        <v>0.92460044811130115</v>
      </c>
      <c r="AI16" s="30">
        <f t="shared" si="12"/>
        <v>0.92995927240944554</v>
      </c>
      <c r="AJ16" s="30">
        <f t="shared" si="13"/>
        <v>0.90085622863405224</v>
      </c>
    </row>
    <row r="17" spans="1:36" x14ac:dyDescent="0.25">
      <c r="A17" s="30"/>
      <c r="B17" s="30" t="s">
        <v>839</v>
      </c>
      <c r="C17" s="30">
        <v>7</v>
      </c>
      <c r="D17" s="30">
        <v>-72.260000000000005</v>
      </c>
      <c r="E17" s="30">
        <v>0.220091313123703</v>
      </c>
      <c r="F17" s="30">
        <v>0.817005574703217</v>
      </c>
      <c r="G17" s="30">
        <v>4.5719904899597097</v>
      </c>
      <c r="H17" s="30">
        <v>23.18550491333</v>
      </c>
      <c r="I17" s="30">
        <v>1.0348314046859699</v>
      </c>
      <c r="J17" s="30">
        <v>4.94911766052246</v>
      </c>
      <c r="K17" s="30">
        <f t="shared" si="2"/>
        <v>31.192232360298533</v>
      </c>
      <c r="L17" s="30">
        <f t="shared" si="3"/>
        <v>141.72405042977249</v>
      </c>
      <c r="M17" s="30"/>
      <c r="N17" s="30"/>
      <c r="O17" s="30"/>
      <c r="P17" s="30">
        <v>22.613903045654201</v>
      </c>
      <c r="Q17" s="30">
        <v>25.613674163818299</v>
      </c>
      <c r="R17" s="30">
        <v>25.685009002685501</v>
      </c>
      <c r="S17" s="30">
        <v>24.0723152160644</v>
      </c>
      <c r="T17" s="30">
        <v>23.462013244628899</v>
      </c>
      <c r="U17" s="30">
        <v>23.215892791748001</v>
      </c>
      <c r="V17" s="30">
        <v>22.178138732910099</v>
      </c>
      <c r="W17" s="30">
        <v>21.273845672607401</v>
      </c>
      <c r="X17" s="30">
        <v>20.5319709777832</v>
      </c>
      <c r="Y17" s="30">
        <v>19.094173431396399</v>
      </c>
      <c r="Z17" s="30"/>
      <c r="AA17" s="30">
        <f t="shared" si="4"/>
        <v>1</v>
      </c>
      <c r="AB17" s="30">
        <f t="shared" si="5"/>
        <v>1.1326516308179084</v>
      </c>
      <c r="AC17" s="30">
        <f t="shared" si="6"/>
        <v>1.1358060990546912</v>
      </c>
      <c r="AD17" s="30">
        <f t="shared" si="7"/>
        <v>1.0644918379399555</v>
      </c>
      <c r="AE17" s="30">
        <f t="shared" si="8"/>
        <v>1.0375039283250878</v>
      </c>
      <c r="AF17" s="30">
        <f t="shared" si="9"/>
        <v>1.0266203381556236</v>
      </c>
      <c r="AG17" s="30">
        <f t="shared" si="10"/>
        <v>0.9807302475886468</v>
      </c>
      <c r="AH17" s="30">
        <f t="shared" si="11"/>
        <v>0.94074188032285189</v>
      </c>
      <c r="AI17" s="30">
        <f t="shared" si="12"/>
        <v>0.90793574803660027</v>
      </c>
      <c r="AJ17" s="30">
        <f t="shared" si="13"/>
        <v>0.84435550081063071</v>
      </c>
    </row>
    <row r="18" spans="1:36" x14ac:dyDescent="0.25">
      <c r="A18" s="30"/>
      <c r="B18" s="30" t="s">
        <v>840</v>
      </c>
      <c r="C18" s="30">
        <v>8</v>
      </c>
      <c r="D18" s="30">
        <v>-69.48</v>
      </c>
      <c r="E18" s="30">
        <v>0.213056474924088</v>
      </c>
      <c r="F18" s="30">
        <v>0.79359155893325795</v>
      </c>
      <c r="G18" s="30">
        <v>3.8963084220886199</v>
      </c>
      <c r="H18" s="30">
        <v>18.347892761230401</v>
      </c>
      <c r="I18" s="30">
        <v>0.95918583869934104</v>
      </c>
      <c r="J18" s="30">
        <v>4.6212377548217702</v>
      </c>
      <c r="K18" s="30">
        <f t="shared" si="2"/>
        <v>23.262269593525605</v>
      </c>
      <c r="L18" s="30">
        <f t="shared" si="3"/>
        <v>109.18358431403669</v>
      </c>
      <c r="M18" s="30"/>
      <c r="N18" s="30"/>
      <c r="O18" s="30"/>
      <c r="P18" s="30">
        <v>17.579990386962798</v>
      </c>
      <c r="Q18" s="30">
        <v>18.183914184570298</v>
      </c>
      <c r="R18" s="30">
        <v>20.058864593505799</v>
      </c>
      <c r="S18" s="30">
        <v>19.793045043945298</v>
      </c>
      <c r="T18" s="30">
        <v>18.816448211669901</v>
      </c>
      <c r="U18" s="30">
        <v>17.670635223388601</v>
      </c>
      <c r="V18" s="30">
        <v>17.1862678527832</v>
      </c>
      <c r="W18" s="30">
        <v>15.404716491699199</v>
      </c>
      <c r="X18" s="30">
        <v>15.107967376708901</v>
      </c>
      <c r="Y18" s="30">
        <v>13.056743621826101</v>
      </c>
      <c r="Z18" s="30"/>
      <c r="AA18" s="30">
        <f t="shared" si="4"/>
        <v>1</v>
      </c>
      <c r="AB18" s="30">
        <f t="shared" si="5"/>
        <v>1.0343529082959775</v>
      </c>
      <c r="AC18" s="30">
        <f t="shared" si="6"/>
        <v>1.141005435838083</v>
      </c>
      <c r="AD18" s="30">
        <f t="shared" si="7"/>
        <v>1.1258848616108281</v>
      </c>
      <c r="AE18" s="30">
        <f t="shared" si="8"/>
        <v>1.0703332480559291</v>
      </c>
      <c r="AF18" s="30">
        <f t="shared" si="9"/>
        <v>1.0051561368596096</v>
      </c>
      <c r="AG18" s="30">
        <f t="shared" si="10"/>
        <v>0.97760393916531485</v>
      </c>
      <c r="AH18" s="30">
        <f t="shared" si="11"/>
        <v>0.87626421588507997</v>
      </c>
      <c r="AI18" s="30">
        <f t="shared" si="12"/>
        <v>0.85938427974982667</v>
      </c>
      <c r="AJ18" s="30">
        <f t="shared" si="13"/>
        <v>0.74270482147185324</v>
      </c>
    </row>
    <row r="19" spans="1:36" x14ac:dyDescent="0.25">
      <c r="A19" s="30"/>
      <c r="B19" s="30" t="s">
        <v>841</v>
      </c>
      <c r="C19" s="30">
        <v>9</v>
      </c>
      <c r="D19" s="30">
        <v>-79.650000000000006</v>
      </c>
      <c r="E19" s="30">
        <v>0.19627057015895799</v>
      </c>
      <c r="F19" s="30">
        <v>0.99549794197082497</v>
      </c>
      <c r="G19" s="30">
        <v>4.0308737754821697</v>
      </c>
      <c r="H19" s="30">
        <v>19.613945007324201</v>
      </c>
      <c r="I19" s="30">
        <v>1.12353610992431</v>
      </c>
      <c r="J19" s="30">
        <v>5.0003776550292898</v>
      </c>
      <c r="K19" s="30">
        <f t="shared" si="2"/>
        <v>24.425874863787293</v>
      </c>
      <c r="L19" s="30">
        <f t="shared" si="3"/>
        <v>124.45001226625556</v>
      </c>
      <c r="M19" s="30"/>
      <c r="N19" s="30"/>
      <c r="O19" s="30"/>
      <c r="P19" s="30">
        <v>19.604068756103501</v>
      </c>
      <c r="Q19" s="30">
        <v>21.556808471679599</v>
      </c>
      <c r="R19" s="30">
        <v>21.893161773681602</v>
      </c>
      <c r="S19" s="30">
        <v>21.8307800292968</v>
      </c>
      <c r="T19" s="30">
        <v>21.371841430663999</v>
      </c>
      <c r="U19" s="30">
        <v>19.800388336181602</v>
      </c>
      <c r="V19" s="30">
        <v>19.3265876770019</v>
      </c>
      <c r="W19" s="30">
        <v>18.4743957519531</v>
      </c>
      <c r="X19" s="30">
        <v>18.577194213867099</v>
      </c>
      <c r="Y19" s="30">
        <v>18.5873908996582</v>
      </c>
      <c r="Z19" s="30"/>
      <c r="AA19" s="30">
        <f t="shared" si="4"/>
        <v>1</v>
      </c>
      <c r="AB19" s="30">
        <f t="shared" si="5"/>
        <v>1.0996088995539834</v>
      </c>
      <c r="AC19" s="30">
        <f t="shared" si="6"/>
        <v>1.1167662206278182</v>
      </c>
      <c r="AD19" s="30">
        <f t="shared" si="7"/>
        <v>1.1135841391343844</v>
      </c>
      <c r="AE19" s="30">
        <f t="shared" si="8"/>
        <v>1.0901737642605502</v>
      </c>
      <c r="AF19" s="30">
        <f t="shared" si="9"/>
        <v>1.0100142262568315</v>
      </c>
      <c r="AG19" s="30">
        <f t="shared" si="10"/>
        <v>0.98584574036370842</v>
      </c>
      <c r="AH19" s="30">
        <f t="shared" si="11"/>
        <v>0.94237558446642922</v>
      </c>
      <c r="AI19" s="30">
        <f t="shared" si="12"/>
        <v>0.94761931540784372</v>
      </c>
      <c r="AJ19" s="30">
        <f t="shared" si="13"/>
        <v>0.94813944650501336</v>
      </c>
    </row>
    <row r="20" spans="1:36" x14ac:dyDescent="0.25">
      <c r="A20" s="30"/>
      <c r="B20" s="30" t="s">
        <v>842</v>
      </c>
      <c r="C20" s="30">
        <v>10</v>
      </c>
      <c r="D20" s="30">
        <v>-77.11</v>
      </c>
      <c r="E20" s="30">
        <v>0.21560631692409499</v>
      </c>
      <c r="F20" s="30">
        <v>0.84935653209686302</v>
      </c>
      <c r="G20" s="30">
        <v>4.1520175933837802</v>
      </c>
      <c r="H20" s="30">
        <v>16.632503509521399</v>
      </c>
      <c r="I20" s="30">
        <v>1.1103000640869101</v>
      </c>
      <c r="J20" s="30">
        <v>4.8410587310790998</v>
      </c>
      <c r="K20" s="30">
        <f t="shared" si="2"/>
        <v>20.101128488111524</v>
      </c>
      <c r="L20" s="30">
        <f t="shared" si="3"/>
        <v>93.230702953792402</v>
      </c>
      <c r="M20" s="30"/>
      <c r="N20" s="30"/>
      <c r="O20" s="30"/>
      <c r="P20" s="30">
        <v>15.8685302734375</v>
      </c>
      <c r="Q20" s="30">
        <v>18.8378791809082</v>
      </c>
      <c r="R20" s="30">
        <v>20.023288726806602</v>
      </c>
      <c r="S20" s="30">
        <v>18.4743957519531</v>
      </c>
      <c r="T20" s="30">
        <v>18.995658874511701</v>
      </c>
      <c r="U20" s="30">
        <v>18.3719787597656</v>
      </c>
      <c r="V20" s="30">
        <v>19.286586761474599</v>
      </c>
      <c r="W20" s="30">
        <v>18.761192321777301</v>
      </c>
      <c r="X20" s="30">
        <v>18.3564453125</v>
      </c>
      <c r="Y20" s="30">
        <v>16.3981819152832</v>
      </c>
      <c r="Z20" s="30"/>
      <c r="AA20" s="30">
        <f t="shared" si="4"/>
        <v>1</v>
      </c>
      <c r="AB20" s="30">
        <f t="shared" si="5"/>
        <v>1.1871218604561711</v>
      </c>
      <c r="AC20" s="30">
        <f t="shared" si="6"/>
        <v>1.261823772068154</v>
      </c>
      <c r="AD20" s="30">
        <f t="shared" si="7"/>
        <v>1.1642159313819747</v>
      </c>
      <c r="AE20" s="30">
        <f t="shared" si="8"/>
        <v>1.197064790953497</v>
      </c>
      <c r="AF20" s="30">
        <f t="shared" si="9"/>
        <v>1.157761836993729</v>
      </c>
      <c r="AG20" s="30">
        <f t="shared" si="10"/>
        <v>1.2153984287857218</v>
      </c>
      <c r="AH20" s="30">
        <f t="shared" si="11"/>
        <v>1.1822892226624073</v>
      </c>
      <c r="AI20" s="30">
        <f t="shared" si="12"/>
        <v>1.1567829531905074</v>
      </c>
      <c r="AJ20" s="30">
        <f t="shared" si="13"/>
        <v>1.0333774856725257</v>
      </c>
    </row>
    <row r="21" spans="1:36" x14ac:dyDescent="0.25">
      <c r="A21" s="30" t="s">
        <v>828</v>
      </c>
      <c r="B21" s="30" t="s">
        <v>843</v>
      </c>
      <c r="C21" s="30">
        <v>11</v>
      </c>
      <c r="D21" s="30">
        <v>-80.959999999999994</v>
      </c>
      <c r="E21" s="30">
        <v>0.16020387411117601</v>
      </c>
      <c r="F21" s="30">
        <v>1.55505383014679</v>
      </c>
      <c r="G21" s="30">
        <v>4.1621437072753897</v>
      </c>
      <c r="H21" s="30">
        <v>13.9425811767578</v>
      </c>
      <c r="I21" s="30">
        <v>1.2896704673767001</v>
      </c>
      <c r="J21" s="30">
        <v>5.2575745582580504</v>
      </c>
      <c r="K21" s="30">
        <f t="shared" si="2"/>
        <v>16.17042119875374</v>
      </c>
      <c r="L21" s="30">
        <f t="shared" si="3"/>
        <v>100.93651784932504</v>
      </c>
      <c r="M21" s="30"/>
      <c r="N21" s="30"/>
      <c r="O21" s="30"/>
      <c r="P21" s="30">
        <v>14.1192321777343</v>
      </c>
      <c r="Q21" s="30">
        <v>16.0244827270507</v>
      </c>
      <c r="R21" s="30">
        <v>15.448013305664</v>
      </c>
      <c r="S21" s="30">
        <v>15.6902160644531</v>
      </c>
      <c r="T21" s="30">
        <v>13.9148178100585</v>
      </c>
      <c r="U21" s="30">
        <v>13.355812072753899</v>
      </c>
      <c r="V21" s="30">
        <v>12.0565032958984</v>
      </c>
      <c r="W21" s="30">
        <v>11.3475036621093</v>
      </c>
      <c r="X21" s="30">
        <v>10.7330169677734</v>
      </c>
      <c r="Y21" s="30">
        <v>8.9658966064453107</v>
      </c>
      <c r="Z21" s="30"/>
      <c r="AA21" s="30">
        <f t="shared" si="4"/>
        <v>1</v>
      </c>
      <c r="AB21" s="30">
        <f t="shared" si="5"/>
        <v>1.134940096269607</v>
      </c>
      <c r="AC21" s="30">
        <f t="shared" si="6"/>
        <v>1.0941114298003511</v>
      </c>
      <c r="AD21" s="30">
        <f t="shared" si="7"/>
        <v>1.111265532498021</v>
      </c>
      <c r="AE21" s="30">
        <f t="shared" si="8"/>
        <v>0.98552227450454721</v>
      </c>
      <c r="AF21" s="30">
        <f t="shared" si="9"/>
        <v>0.94593048011602943</v>
      </c>
      <c r="AG21" s="30">
        <f t="shared" si="10"/>
        <v>0.85390644081278189</v>
      </c>
      <c r="AH21" s="30">
        <f t="shared" si="11"/>
        <v>0.80369127154124209</v>
      </c>
      <c r="AI21" s="30">
        <f t="shared" si="12"/>
        <v>0.76017001722651156</v>
      </c>
      <c r="AJ21" s="30">
        <f t="shared" si="13"/>
        <v>0.63501304416427973</v>
      </c>
    </row>
    <row r="22" spans="1:36" x14ac:dyDescent="0.25">
      <c r="A22" s="30"/>
      <c r="B22" s="30" t="s">
        <v>844</v>
      </c>
      <c r="C22" s="30">
        <v>12</v>
      </c>
      <c r="D22" s="30">
        <v>-71.66</v>
      </c>
      <c r="E22" s="30">
        <v>0.162430435419083</v>
      </c>
      <c r="F22" s="30">
        <v>0.91744077205658003</v>
      </c>
      <c r="G22" s="30">
        <v>3.79087114334106</v>
      </c>
      <c r="H22" s="30">
        <v>17.581596374511701</v>
      </c>
      <c r="I22" s="30">
        <v>1.07319343090057</v>
      </c>
      <c r="J22" s="30">
        <v>4.8608717918395996</v>
      </c>
      <c r="K22" s="30">
        <f t="shared" si="2"/>
        <v>21.875219338696798</v>
      </c>
      <c r="L22" s="30">
        <f t="shared" si="3"/>
        <v>134.67438711382539</v>
      </c>
      <c r="M22" s="30"/>
      <c r="N22" s="30"/>
      <c r="O22" s="30"/>
      <c r="P22" s="30">
        <v>16.240177154541001</v>
      </c>
      <c r="Q22" s="30">
        <v>16.862754821777301</v>
      </c>
      <c r="R22" s="30">
        <v>18.192943572998001</v>
      </c>
      <c r="S22" s="30">
        <v>17.635398864746001</v>
      </c>
      <c r="T22" s="30">
        <v>17.460136413574201</v>
      </c>
      <c r="U22" s="30">
        <v>16.483531951904201</v>
      </c>
      <c r="V22" s="30">
        <v>16.602565765380799</v>
      </c>
      <c r="W22" s="30">
        <v>16.159038543701101</v>
      </c>
      <c r="X22" s="30">
        <v>14.363243103027299</v>
      </c>
      <c r="Y22" s="30">
        <v>13.9840850830078</v>
      </c>
      <c r="Z22" s="30"/>
      <c r="AA22" s="30">
        <f t="shared" si="4"/>
        <v>1</v>
      </c>
      <c r="AB22" s="30">
        <f t="shared" si="5"/>
        <v>1.0383356450678998</v>
      </c>
      <c r="AC22" s="30">
        <f t="shared" si="6"/>
        <v>1.1202429259160498</v>
      </c>
      <c r="AD22" s="30">
        <f t="shared" si="7"/>
        <v>1.0859117297137904</v>
      </c>
      <c r="AE22" s="30">
        <f t="shared" si="8"/>
        <v>1.075119824582214</v>
      </c>
      <c r="AF22" s="30">
        <f t="shared" si="9"/>
        <v>1.0149847378539929</v>
      </c>
      <c r="AG22" s="30">
        <f t="shared" si="10"/>
        <v>1.0223143262164764</v>
      </c>
      <c r="AH22" s="30">
        <f t="shared" si="11"/>
        <v>0.99500383462151998</v>
      </c>
      <c r="AI22" s="30">
        <f t="shared" si="12"/>
        <v>0.88442650387044064</v>
      </c>
      <c r="AJ22" s="30">
        <f t="shared" si="13"/>
        <v>0.86107958983056021</v>
      </c>
    </row>
    <row r="24" spans="1:36" x14ac:dyDescent="0.25">
      <c r="A24" s="31"/>
      <c r="B24" s="31" t="s">
        <v>845</v>
      </c>
      <c r="C24" s="31">
        <v>1</v>
      </c>
      <c r="D24" s="31">
        <v>-74.150000000000006</v>
      </c>
      <c r="E24" s="31">
        <v>0.14025892317295099</v>
      </c>
      <c r="F24" s="31">
        <v>1.39731192588806</v>
      </c>
      <c r="G24" s="31">
        <v>2.72378349304199</v>
      </c>
      <c r="H24" s="31">
        <v>9.47332763671875</v>
      </c>
      <c r="I24" s="31">
        <v>1.3892300128936701</v>
      </c>
      <c r="J24" s="31">
        <v>5.5090079307556099</v>
      </c>
      <c r="K24" s="31">
        <f t="shared" ref="K24:K34" si="14">H24/(1-(0.8*(H24/(ABS(D24)))))</f>
        <v>10.551797012353846</v>
      </c>
      <c r="L24" s="31">
        <f t="shared" ref="L24:L34" si="15">K24/E24</f>
        <v>75.230842884360356</v>
      </c>
      <c r="M24" s="31" t="s">
        <v>846</v>
      </c>
      <c r="N24" s="31"/>
      <c r="O24" s="31"/>
      <c r="P24" s="31">
        <v>7.8541922569274902</v>
      </c>
      <c r="Q24" s="31">
        <v>9.4112977981567294</v>
      </c>
      <c r="R24" s="31">
        <v>9.7519254684448207</v>
      </c>
      <c r="S24" s="31">
        <v>9.0483312606811506</v>
      </c>
      <c r="T24" s="31">
        <v>9.0691957473754794</v>
      </c>
      <c r="U24" s="31">
        <v>9.2678613662719709</v>
      </c>
      <c r="V24" s="31">
        <v>9.3180475234985298</v>
      </c>
      <c r="W24" s="31">
        <v>8.1909303665161097</v>
      </c>
      <c r="X24" s="31">
        <v>9.0215673446655202</v>
      </c>
      <c r="Y24" s="31">
        <v>0</v>
      </c>
      <c r="Z24" s="31"/>
      <c r="AA24" s="31">
        <f>P24/P24</f>
        <v>1</v>
      </c>
      <c r="AB24" s="31">
        <f>Q24/P24</f>
        <v>1.1982515184621123</v>
      </c>
      <c r="AC24" s="31">
        <f>R24/P24</f>
        <v>1.241620417407469</v>
      </c>
      <c r="AD24" s="31">
        <f>S24/P24</f>
        <v>1.1520384228817948</v>
      </c>
      <c r="AE24" s="31">
        <f>T24/P24</f>
        <v>1.1546949005960914</v>
      </c>
      <c r="AF24" s="31">
        <f>U24/P24</f>
        <v>1.1799891144882031</v>
      </c>
      <c r="AG24" s="31">
        <f>V24/P24</f>
        <v>1.1863788431305462</v>
      </c>
      <c r="AH24" s="31">
        <f>W24/P24</f>
        <v>1.0428736779764478</v>
      </c>
      <c r="AI24" s="31">
        <f>X24/P24</f>
        <v>1.1486308266401795</v>
      </c>
      <c r="AJ24" s="31">
        <f>Y24/P24</f>
        <v>0</v>
      </c>
    </row>
    <row r="25" spans="1:36" x14ac:dyDescent="0.25">
      <c r="A25" s="30"/>
      <c r="B25" s="30" t="s">
        <v>847</v>
      </c>
      <c r="C25" s="30">
        <v>2</v>
      </c>
      <c r="D25" s="30">
        <v>-70.98</v>
      </c>
      <c r="E25" s="30">
        <v>0.261136114597321</v>
      </c>
      <c r="F25" s="30">
        <v>1.08886086940765</v>
      </c>
      <c r="G25" s="30">
        <v>4.91638135910034</v>
      </c>
      <c r="H25" s="30">
        <v>14.635814666748001</v>
      </c>
      <c r="I25" s="30">
        <v>1.33040618896484</v>
      </c>
      <c r="J25" s="30">
        <v>5.4472007751464799</v>
      </c>
      <c r="K25" s="30">
        <f t="shared" si="14"/>
        <v>17.52702031296878</v>
      </c>
      <c r="L25" s="30">
        <f t="shared" si="15"/>
        <v>67.118331526054618</v>
      </c>
      <c r="M25" s="30" t="s">
        <v>848</v>
      </c>
      <c r="N25" s="30"/>
      <c r="O25" s="30"/>
      <c r="P25" s="30">
        <v>14.538097381591699</v>
      </c>
      <c r="Q25" s="30">
        <v>15.549888610839799</v>
      </c>
      <c r="R25" s="30">
        <v>16.9969062805175</v>
      </c>
      <c r="S25" s="30">
        <v>16.6771926879882</v>
      </c>
      <c r="T25" s="30">
        <v>16.8039245605468</v>
      </c>
      <c r="U25" s="30">
        <v>15.345619201660099</v>
      </c>
      <c r="V25" s="30">
        <v>15.595897674560501</v>
      </c>
      <c r="W25" s="30">
        <v>14.997585296630801</v>
      </c>
      <c r="X25" s="30">
        <v>15.197151184081999</v>
      </c>
      <c r="Y25" s="30">
        <v>0</v>
      </c>
      <c r="Z25" s="30"/>
      <c r="AA25" s="30">
        <f t="shared" ref="AA25:AA34" si="16">P25/P25</f>
        <v>1</v>
      </c>
      <c r="AB25" s="30">
        <f t="shared" ref="AB25:AB34" si="17">Q25/P25</f>
        <v>1.0695958489402637</v>
      </c>
      <c r="AC25" s="30">
        <f t="shared" ref="AC25:AC34" si="18">R25/P25</f>
        <v>1.1691286579246039</v>
      </c>
      <c r="AD25" s="30">
        <f t="shared" ref="AD25:AD34" si="19">S25/P25</f>
        <v>1.1471372250611724</v>
      </c>
      <c r="AE25" s="30">
        <f t="shared" ref="AE25:AE34" si="20">T25/P25</f>
        <v>1.1558544505159332</v>
      </c>
      <c r="AF25" s="30">
        <f t="shared" ref="AF25:AF34" si="21">U25/P25</f>
        <v>1.0555452201806608</v>
      </c>
      <c r="AG25" s="30">
        <f t="shared" ref="AG25:AG34" si="22">V25/P25</f>
        <v>1.0727605728042653</v>
      </c>
      <c r="AH25" s="30">
        <f t="shared" ref="AH25:AH34" si="23">W25/P25</f>
        <v>1.0316057805212469</v>
      </c>
      <c r="AI25" s="30">
        <f t="shared" ref="AI25:AI34" si="24">X25/P25</f>
        <v>1.045332878518533</v>
      </c>
      <c r="AJ25" s="30">
        <f t="shared" ref="AJ25:AJ34" si="25">Y25/P25</f>
        <v>0</v>
      </c>
    </row>
    <row r="26" spans="1:36" x14ac:dyDescent="0.25">
      <c r="A26" s="30"/>
      <c r="B26" s="30" t="s">
        <v>849</v>
      </c>
      <c r="C26" s="30">
        <v>3</v>
      </c>
      <c r="D26" s="30">
        <v>-69.510000000000005</v>
      </c>
      <c r="E26" s="30">
        <v>0.14383748173713701</v>
      </c>
      <c r="F26" s="30">
        <v>1.6743739843368499</v>
      </c>
      <c r="G26" s="30">
        <v>3.4533312320709202</v>
      </c>
      <c r="H26" s="30">
        <v>7.9322166442870996</v>
      </c>
      <c r="I26" s="30">
        <v>1.3395812511444001</v>
      </c>
      <c r="J26" s="30">
        <v>5.2897071838378897</v>
      </c>
      <c r="K26" s="30">
        <f t="shared" si="14"/>
        <v>8.7291241876168471</v>
      </c>
      <c r="L26" s="30">
        <f t="shared" si="15"/>
        <v>60.687409722379044</v>
      </c>
      <c r="M26" s="30"/>
      <c r="N26" s="30"/>
      <c r="O26" s="30"/>
      <c r="P26" s="30">
        <v>7.7207603454589799</v>
      </c>
      <c r="Q26" s="30">
        <v>9.0969543457031197</v>
      </c>
      <c r="R26" s="30">
        <v>9.2738723754882795</v>
      </c>
      <c r="S26" s="30">
        <v>8.9782562255859304</v>
      </c>
      <c r="T26" s="30">
        <v>9.1906242370605398</v>
      </c>
      <c r="U26" s="30">
        <v>8.6375045776367099</v>
      </c>
      <c r="V26" s="30">
        <v>7.3085060119628897</v>
      </c>
      <c r="W26" s="30">
        <v>7.5927848815917898</v>
      </c>
      <c r="X26" s="30">
        <v>7.6019287109375</v>
      </c>
      <c r="Y26" s="30">
        <v>7.2116622924804599</v>
      </c>
      <c r="Z26" s="30"/>
      <c r="AA26" s="30">
        <f t="shared" si="16"/>
        <v>1</v>
      </c>
      <c r="AB26" s="30">
        <f t="shared" si="17"/>
        <v>1.1782459160325522</v>
      </c>
      <c r="AC26" s="30">
        <f t="shared" si="18"/>
        <v>1.2011605024034677</v>
      </c>
      <c r="AD26" s="30">
        <f t="shared" si="19"/>
        <v>1.1628720260520138</v>
      </c>
      <c r="AE26" s="30">
        <f t="shared" si="20"/>
        <v>1.1903781267431868</v>
      </c>
      <c r="AF26" s="30">
        <f t="shared" si="21"/>
        <v>1.1187375583697425</v>
      </c>
      <c r="AG26" s="30">
        <f t="shared" si="22"/>
        <v>0.94660443854619059</v>
      </c>
      <c r="AH26" s="30">
        <f t="shared" si="23"/>
        <v>0.9834244999014301</v>
      </c>
      <c r="AI26" s="30">
        <f t="shared" si="24"/>
        <v>0.98460881711069148</v>
      </c>
      <c r="AJ26" s="30">
        <f t="shared" si="25"/>
        <v>0.93406115068991236</v>
      </c>
    </row>
    <row r="27" spans="1:36" x14ac:dyDescent="0.25">
      <c r="A27" s="30"/>
      <c r="B27" s="30" t="s">
        <v>850</v>
      </c>
      <c r="C27" s="30">
        <v>4</v>
      </c>
      <c r="D27" s="30">
        <v>-73.819999999999993</v>
      </c>
      <c r="E27" s="30">
        <v>0.202341243624687</v>
      </c>
      <c r="F27" s="30">
        <v>1.25269079208374</v>
      </c>
      <c r="G27" s="30">
        <v>3.5855355262756299</v>
      </c>
      <c r="H27" s="30">
        <v>13.1856384277343</v>
      </c>
      <c r="I27" s="30">
        <v>1.39468693733215</v>
      </c>
      <c r="J27" s="30">
        <v>5.7025623321533203</v>
      </c>
      <c r="K27" s="30">
        <f t="shared" si="14"/>
        <v>15.383924736924984</v>
      </c>
      <c r="L27" s="30">
        <f t="shared" si="15"/>
        <v>76.029604549924983</v>
      </c>
      <c r="M27" s="30"/>
      <c r="N27" s="30"/>
      <c r="O27" s="30"/>
      <c r="P27" s="30">
        <v>12.831820487976</v>
      </c>
      <c r="Q27" s="30">
        <v>14.5503807067871</v>
      </c>
      <c r="R27" s="30">
        <v>15.0232830047607</v>
      </c>
      <c r="S27" s="30">
        <v>14.3505764007568</v>
      </c>
      <c r="T27" s="30">
        <v>14.498660087585399</v>
      </c>
      <c r="U27" s="30">
        <v>14.074912071228001</v>
      </c>
      <c r="V27" s="30">
        <v>13.705985069274901</v>
      </c>
      <c r="W27" s="30">
        <v>13.1634511947631</v>
      </c>
      <c r="X27" s="30">
        <v>11.952161788940399</v>
      </c>
      <c r="Y27" s="30">
        <v>12.718008995056101</v>
      </c>
      <c r="Z27" s="30"/>
      <c r="AA27" s="30">
        <f t="shared" si="16"/>
        <v>1</v>
      </c>
      <c r="AB27" s="30">
        <f t="shared" si="17"/>
        <v>1.1339295714447899</v>
      </c>
      <c r="AC27" s="30">
        <f t="shared" si="18"/>
        <v>1.1707834456411077</v>
      </c>
      <c r="AD27" s="30">
        <f t="shared" si="19"/>
        <v>1.1183585691682598</v>
      </c>
      <c r="AE27" s="30">
        <f t="shared" si="20"/>
        <v>1.12989891817543</v>
      </c>
      <c r="AF27" s="30">
        <f t="shared" si="21"/>
        <v>1.0968756993145934</v>
      </c>
      <c r="AG27" s="30">
        <f t="shared" si="22"/>
        <v>1.0681247514425589</v>
      </c>
      <c r="AH27" s="30">
        <f t="shared" si="23"/>
        <v>1.025844400418308</v>
      </c>
      <c r="AI27" s="30">
        <f t="shared" si="24"/>
        <v>0.93144708501339457</v>
      </c>
      <c r="AJ27" s="30">
        <f t="shared" si="25"/>
        <v>0.99113052641076571</v>
      </c>
    </row>
    <row r="28" spans="1:36" x14ac:dyDescent="0.25">
      <c r="A28" s="30"/>
      <c r="B28" s="30" t="s">
        <v>851</v>
      </c>
      <c r="C28" s="30">
        <v>5</v>
      </c>
      <c r="D28" s="30">
        <v>-72.05</v>
      </c>
      <c r="E28" s="30">
        <v>0.21136584877967801</v>
      </c>
      <c r="F28" s="30">
        <v>1.20915627479553</v>
      </c>
      <c r="G28" s="30">
        <v>4.7661957740783603</v>
      </c>
      <c r="H28" s="30">
        <v>14.4360084533691</v>
      </c>
      <c r="I28" s="30">
        <v>1.2419670820236199</v>
      </c>
      <c r="J28" s="30">
        <v>5.0911078453063903</v>
      </c>
      <c r="K28" s="30">
        <f t="shared" si="14"/>
        <v>17.191634634139987</v>
      </c>
      <c r="L28" s="30">
        <f t="shared" si="15"/>
        <v>81.335914639928788</v>
      </c>
      <c r="M28" s="30"/>
      <c r="N28" s="30"/>
      <c r="O28" s="30"/>
      <c r="P28" s="30">
        <v>13.5701332092285</v>
      </c>
      <c r="Q28" s="30">
        <v>15.531963348388601</v>
      </c>
      <c r="R28" s="30">
        <v>15.4621238708496</v>
      </c>
      <c r="S28" s="30">
        <v>15.9693450927734</v>
      </c>
      <c r="T28" s="30">
        <v>16.59810256958</v>
      </c>
      <c r="U28" s="30">
        <v>15.588314056396401</v>
      </c>
      <c r="V28" s="30">
        <v>15.778514862060501</v>
      </c>
      <c r="W28" s="30">
        <v>15.2932357788085</v>
      </c>
      <c r="X28" s="30">
        <v>14.861488342285099</v>
      </c>
      <c r="Y28" s="30">
        <v>14.3796615600585</v>
      </c>
      <c r="Z28" s="30"/>
      <c r="AA28" s="30">
        <f t="shared" si="16"/>
        <v>1</v>
      </c>
      <c r="AB28" s="30">
        <f t="shared" si="17"/>
        <v>1.1445697038424014</v>
      </c>
      <c r="AC28" s="30">
        <f t="shared" si="18"/>
        <v>1.1394231458490351</v>
      </c>
      <c r="AD28" s="30">
        <f t="shared" si="19"/>
        <v>1.1768009087717204</v>
      </c>
      <c r="AE28" s="30">
        <f t="shared" si="20"/>
        <v>1.2231348295308038</v>
      </c>
      <c r="AF28" s="30">
        <f t="shared" si="21"/>
        <v>1.1487222576264335</v>
      </c>
      <c r="AG28" s="30">
        <f t="shared" si="22"/>
        <v>1.1627383916415919</v>
      </c>
      <c r="AH28" s="30">
        <f t="shared" si="23"/>
        <v>1.1269775722178017</v>
      </c>
      <c r="AI28" s="30">
        <f t="shared" si="24"/>
        <v>1.0951615664449337</v>
      </c>
      <c r="AJ28" s="30">
        <f t="shared" si="25"/>
        <v>1.0596551513790204</v>
      </c>
    </row>
    <row r="29" spans="1:36" x14ac:dyDescent="0.25">
      <c r="A29" s="30"/>
      <c r="B29" s="30" t="s">
        <v>852</v>
      </c>
      <c r="C29" s="30">
        <v>6</v>
      </c>
      <c r="D29" s="30">
        <v>-56.81</v>
      </c>
      <c r="E29" s="30">
        <v>0.22456750273704501</v>
      </c>
      <c r="F29" s="30">
        <v>1.0688898563385001</v>
      </c>
      <c r="G29" s="30">
        <v>4.4358844757079998</v>
      </c>
      <c r="H29" s="30">
        <v>17.111843109130799</v>
      </c>
      <c r="I29" s="30">
        <v>1.1271005868911701</v>
      </c>
      <c r="J29" s="30">
        <v>4.8555450439453098</v>
      </c>
      <c r="K29" s="30">
        <f t="shared" si="14"/>
        <v>22.544340438140349</v>
      </c>
      <c r="L29" s="30">
        <f t="shared" si="15"/>
        <v>100.39003935729032</v>
      </c>
      <c r="M29" s="30"/>
      <c r="N29" s="30"/>
      <c r="O29" s="30"/>
      <c r="P29" s="30">
        <v>15.7664031982421</v>
      </c>
      <c r="Q29" s="30">
        <v>18.995937347412099</v>
      </c>
      <c r="R29" s="30">
        <v>19.6591072082519</v>
      </c>
      <c r="S29" s="30">
        <v>19.173622131347599</v>
      </c>
      <c r="T29" s="30">
        <v>17.643070220947202</v>
      </c>
      <c r="U29" s="30">
        <v>18.025779724121001</v>
      </c>
      <c r="V29" s="30">
        <v>17.471233367919901</v>
      </c>
      <c r="W29" s="30">
        <v>15.564342498779199</v>
      </c>
      <c r="X29" s="30">
        <v>14.087306976318301</v>
      </c>
      <c r="Y29" s="30">
        <v>15.695812225341699</v>
      </c>
      <c r="Z29" s="30"/>
      <c r="AA29" s="30">
        <f t="shared" si="16"/>
        <v>1</v>
      </c>
      <c r="AB29" s="30">
        <f t="shared" si="17"/>
        <v>1.2048364556305449</v>
      </c>
      <c r="AC29" s="30">
        <f t="shared" si="18"/>
        <v>1.2468986718824888</v>
      </c>
      <c r="AD29" s="30">
        <f t="shared" si="19"/>
        <v>1.2161062919845531</v>
      </c>
      <c r="AE29" s="30">
        <f t="shared" si="20"/>
        <v>1.1190294957644076</v>
      </c>
      <c r="AF29" s="30">
        <f t="shared" si="21"/>
        <v>1.1433032314009839</v>
      </c>
      <c r="AG29" s="30">
        <f t="shared" si="22"/>
        <v>1.1081305703172606</v>
      </c>
      <c r="AH29" s="30">
        <f t="shared" si="23"/>
        <v>0.98718409665652651</v>
      </c>
      <c r="AI29" s="30">
        <f t="shared" si="24"/>
        <v>0.89350163123374815</v>
      </c>
      <c r="AJ29" s="30">
        <f t="shared" si="25"/>
        <v>0.99552269645696545</v>
      </c>
    </row>
    <row r="30" spans="1:36" x14ac:dyDescent="0.25">
      <c r="A30" s="30"/>
      <c r="B30" s="30" t="s">
        <v>853</v>
      </c>
      <c r="C30" s="30">
        <v>7</v>
      </c>
      <c r="D30" s="30">
        <v>-73.959999999999994</v>
      </c>
      <c r="E30" s="30">
        <v>0.28897678852081299</v>
      </c>
      <c r="F30" s="30">
        <v>1.2052258253097501</v>
      </c>
      <c r="G30" s="30">
        <v>4.1985816955566397</v>
      </c>
      <c r="H30" s="30">
        <v>19.1051025390625</v>
      </c>
      <c r="I30" s="30">
        <v>1.22857666015625</v>
      </c>
      <c r="J30" s="30">
        <v>4.9351263046264604</v>
      </c>
      <c r="K30" s="30">
        <f t="shared" si="14"/>
        <v>24.081657905064468</v>
      </c>
      <c r="L30" s="30">
        <f t="shared" si="15"/>
        <v>83.334229120378069</v>
      </c>
      <c r="M30" s="30" t="s">
        <v>854</v>
      </c>
      <c r="N30" s="30"/>
      <c r="O30" s="30"/>
      <c r="P30" s="30">
        <v>19.001953125</v>
      </c>
      <c r="Q30" s="30">
        <v>20.263614654541001</v>
      </c>
      <c r="R30" s="30">
        <v>21.1911315917968</v>
      </c>
      <c r="S30" s="30">
        <v>21.0145263671875</v>
      </c>
      <c r="T30" s="30">
        <v>21.1270446777343</v>
      </c>
      <c r="U30" s="30">
        <v>20.619449615478501</v>
      </c>
      <c r="V30" s="30">
        <v>20.50777053833</v>
      </c>
      <c r="W30" s="30">
        <v>19.898227691650298</v>
      </c>
      <c r="X30" s="30">
        <v>19.4447326660156</v>
      </c>
      <c r="Y30" s="30">
        <v>18.535293579101499</v>
      </c>
      <c r="Z30" s="30"/>
      <c r="AA30" s="30">
        <f t="shared" si="16"/>
        <v>1</v>
      </c>
      <c r="AB30" s="30">
        <f t="shared" si="17"/>
        <v>1.0663964131077184</v>
      </c>
      <c r="AC30" s="30">
        <f t="shared" si="18"/>
        <v>1.1152080763696126</v>
      </c>
      <c r="AD30" s="30">
        <f t="shared" si="19"/>
        <v>1.1059140199403845</v>
      </c>
      <c r="AE30" s="30">
        <f t="shared" si="20"/>
        <v>1.1118354275876208</v>
      </c>
      <c r="AF30" s="30">
        <f t="shared" si="21"/>
        <v>1.0851226439639214</v>
      </c>
      <c r="AG30" s="30">
        <f t="shared" si="22"/>
        <v>1.0792454019554898</v>
      </c>
      <c r="AH30" s="30">
        <f t="shared" si="23"/>
        <v>1.0471674969806715</v>
      </c>
      <c r="AI30" s="30">
        <f t="shared" si="24"/>
        <v>1.0233017910371043</v>
      </c>
      <c r="AJ30" s="30">
        <f t="shared" si="25"/>
        <v>0.97544149578579165</v>
      </c>
    </row>
    <row r="31" spans="1:36" x14ac:dyDescent="0.25">
      <c r="A31" s="30"/>
      <c r="B31" s="30" t="s">
        <v>855</v>
      </c>
      <c r="C31" s="30">
        <v>8</v>
      </c>
      <c r="D31" s="30">
        <v>-68.47</v>
      </c>
      <c r="E31" s="30">
        <v>0.37575486302375799</v>
      </c>
      <c r="F31" s="30">
        <v>0.84975588321685802</v>
      </c>
      <c r="G31" s="30">
        <v>4.2457532882690403</v>
      </c>
      <c r="H31" s="30">
        <v>25.382427215576101</v>
      </c>
      <c r="I31" s="30">
        <v>0.98734724521636996</v>
      </c>
      <c r="J31" s="30">
        <v>4.54249715805053</v>
      </c>
      <c r="K31" s="30">
        <f t="shared" si="14"/>
        <v>36.083645261785357</v>
      </c>
      <c r="L31" s="30">
        <f t="shared" si="15"/>
        <v>96.029749213129634</v>
      </c>
      <c r="M31" s="30"/>
      <c r="N31" s="30"/>
      <c r="O31" s="30"/>
      <c r="P31" s="30">
        <v>24.0679321289062</v>
      </c>
      <c r="Q31" s="30">
        <v>26.5700988769531</v>
      </c>
      <c r="R31" s="30">
        <v>29.374488830566399</v>
      </c>
      <c r="S31" s="30">
        <v>28.122104644775298</v>
      </c>
      <c r="T31" s="30">
        <v>28.7863960266113</v>
      </c>
      <c r="U31" s="30">
        <v>29.64546585083</v>
      </c>
      <c r="V31" s="30">
        <v>27.306308746337798</v>
      </c>
      <c r="W31" s="30">
        <v>26.407016754150298</v>
      </c>
      <c r="X31" s="30">
        <v>24.597053527831999</v>
      </c>
      <c r="Y31" s="30">
        <v>23.726554870605401</v>
      </c>
      <c r="Z31" s="30"/>
      <c r="AA31" s="30">
        <f t="shared" si="16"/>
        <v>1</v>
      </c>
      <c r="AB31" s="30">
        <f t="shared" si="17"/>
        <v>1.1039626809085827</v>
      </c>
      <c r="AC31" s="30">
        <f t="shared" si="18"/>
        <v>1.2204824524698941</v>
      </c>
      <c r="AD31" s="30">
        <f t="shared" si="19"/>
        <v>1.1684470645070473</v>
      </c>
      <c r="AE31" s="30">
        <f t="shared" si="20"/>
        <v>1.1960477482001084</v>
      </c>
      <c r="AF31" s="30">
        <f t="shared" si="21"/>
        <v>1.2317412934377125</v>
      </c>
      <c r="AG31" s="30">
        <f t="shared" si="22"/>
        <v>1.1345515102870938</v>
      </c>
      <c r="AH31" s="30">
        <f t="shared" si="23"/>
        <v>1.0971867717058583</v>
      </c>
      <c r="AI31" s="30">
        <f t="shared" si="24"/>
        <v>1.0219844977163748</v>
      </c>
      <c r="AJ31" s="30">
        <f t="shared" si="25"/>
        <v>0.98581609518954905</v>
      </c>
    </row>
    <row r="32" spans="1:36" x14ac:dyDescent="0.25">
      <c r="A32" s="30"/>
      <c r="B32" s="30" t="s">
        <v>856</v>
      </c>
      <c r="C32" s="30">
        <v>9</v>
      </c>
      <c r="D32" s="30">
        <v>-68.040000000000006</v>
      </c>
      <c r="E32" s="30">
        <v>0.24899810552596999</v>
      </c>
      <c r="F32" s="30">
        <v>1.04460000991821</v>
      </c>
      <c r="G32" s="30">
        <v>4.1157016754150302</v>
      </c>
      <c r="H32" s="30">
        <v>20.275760650634702</v>
      </c>
      <c r="I32" s="30">
        <v>1.0945599079132</v>
      </c>
      <c r="J32" s="30">
        <v>5.0962500572204501</v>
      </c>
      <c r="K32" s="30">
        <f t="shared" si="14"/>
        <v>26.622519394407657</v>
      </c>
      <c r="L32" s="30">
        <f t="shared" si="15"/>
        <v>106.91856204356135</v>
      </c>
      <c r="M32" s="30"/>
      <c r="N32" s="30"/>
      <c r="O32" s="30"/>
      <c r="P32" s="30">
        <v>19.807979583740199</v>
      </c>
      <c r="Q32" s="30">
        <v>23.7898445129394</v>
      </c>
      <c r="R32" s="30">
        <v>23.6516418457031</v>
      </c>
      <c r="S32" s="30">
        <v>23.025753021240199</v>
      </c>
      <c r="T32" s="30">
        <v>21.7062377929687</v>
      </c>
      <c r="U32" s="30">
        <v>22.913078308105401</v>
      </c>
      <c r="V32" s="30">
        <v>21.465538024902301</v>
      </c>
      <c r="W32" s="30">
        <v>20.048110961913999</v>
      </c>
      <c r="X32" s="30">
        <v>20.111671447753899</v>
      </c>
      <c r="Y32" s="30">
        <v>18.47017288208</v>
      </c>
      <c r="Z32" s="30"/>
      <c r="AA32" s="30">
        <f t="shared" si="16"/>
        <v>1</v>
      </c>
      <c r="AB32" s="30">
        <f t="shared" si="17"/>
        <v>1.2010232751081691</v>
      </c>
      <c r="AC32" s="30">
        <f t="shared" si="18"/>
        <v>1.1940461542639136</v>
      </c>
      <c r="AD32" s="30">
        <f t="shared" si="19"/>
        <v>1.1624483417855185</v>
      </c>
      <c r="AE32" s="30">
        <f t="shared" si="20"/>
        <v>1.0958330051383296</v>
      </c>
      <c r="AF32" s="30">
        <f t="shared" si="21"/>
        <v>1.156759992165687</v>
      </c>
      <c r="AG32" s="30">
        <f t="shared" si="22"/>
        <v>1.0836813484260022</v>
      </c>
      <c r="AH32" s="30">
        <f t="shared" si="23"/>
        <v>1.0121229617164447</v>
      </c>
      <c r="AI32" s="30">
        <f t="shared" si="24"/>
        <v>1.0153317940746966</v>
      </c>
      <c r="AJ32" s="30">
        <f t="shared" si="25"/>
        <v>0.9324612237202442</v>
      </c>
    </row>
    <row r="33" spans="1:36" x14ac:dyDescent="0.25">
      <c r="A33" s="30"/>
      <c r="B33" s="30" t="s">
        <v>857</v>
      </c>
      <c r="C33" s="30">
        <v>10</v>
      </c>
      <c r="D33" s="30">
        <v>-67.599999999999994</v>
      </c>
      <c r="E33" s="30">
        <v>0.29374036192893999</v>
      </c>
      <c r="F33" s="30">
        <v>0.930528044700623</v>
      </c>
      <c r="G33" s="30">
        <v>4.0625696182250897</v>
      </c>
      <c r="H33" s="30">
        <v>19.523643493652301</v>
      </c>
      <c r="I33" s="30">
        <v>0.95674502849578902</v>
      </c>
      <c r="J33" s="30">
        <v>4.6959757804870597</v>
      </c>
      <c r="K33" s="30">
        <f t="shared" si="14"/>
        <v>25.389972043945733</v>
      </c>
      <c r="L33" s="30">
        <f t="shared" si="15"/>
        <v>86.436783413809266</v>
      </c>
      <c r="M33" s="30"/>
      <c r="N33" s="30"/>
      <c r="O33" s="30"/>
      <c r="P33" s="30">
        <v>19.7139167785644</v>
      </c>
      <c r="Q33" s="30">
        <v>21.950290679931602</v>
      </c>
      <c r="R33" s="30">
        <v>23.1539916992187</v>
      </c>
      <c r="S33" s="30">
        <v>22.848300933837798</v>
      </c>
      <c r="T33" s="30">
        <v>21.9951782226562</v>
      </c>
      <c r="U33" s="30">
        <v>22.631507873535099</v>
      </c>
      <c r="V33" s="30">
        <v>21.822269439697202</v>
      </c>
      <c r="W33" s="30">
        <v>19.383457183837798</v>
      </c>
      <c r="X33" s="30">
        <v>19.472732543945298</v>
      </c>
      <c r="Y33" s="30">
        <v>17.854587554931602</v>
      </c>
      <c r="Z33" s="30"/>
      <c r="AA33" s="30">
        <f t="shared" si="16"/>
        <v>1</v>
      </c>
      <c r="AB33" s="30">
        <f t="shared" si="17"/>
        <v>1.1134413788232527</v>
      </c>
      <c r="AC33" s="30">
        <f t="shared" si="18"/>
        <v>1.1744998195586789</v>
      </c>
      <c r="AD33" s="30">
        <f t="shared" si="19"/>
        <v>1.158993476054516</v>
      </c>
      <c r="AE33" s="30">
        <f t="shared" si="20"/>
        <v>1.1157183257754386</v>
      </c>
      <c r="AF33" s="30">
        <f t="shared" si="21"/>
        <v>1.1479965208204133</v>
      </c>
      <c r="AG33" s="30">
        <f t="shared" si="22"/>
        <v>1.1069474262681926</v>
      </c>
      <c r="AH33" s="30">
        <f t="shared" si="23"/>
        <v>0.98323724308880511</v>
      </c>
      <c r="AI33" s="30">
        <f t="shared" si="24"/>
        <v>0.9877657881318973</v>
      </c>
      <c r="AJ33" s="30">
        <f t="shared" si="25"/>
        <v>0.90568443376739272</v>
      </c>
    </row>
    <row r="34" spans="1:36" x14ac:dyDescent="0.25">
      <c r="A34" s="30" t="s">
        <v>828</v>
      </c>
      <c r="B34" s="30" t="s">
        <v>858</v>
      </c>
      <c r="C34" s="30">
        <v>11</v>
      </c>
      <c r="D34" s="30">
        <v>-66.73</v>
      </c>
      <c r="E34" s="30">
        <v>0.32233411073684698</v>
      </c>
      <c r="F34" s="30">
        <v>1.0411077737808201</v>
      </c>
      <c r="G34" s="30">
        <v>4.8884010314941397</v>
      </c>
      <c r="H34" s="30">
        <v>21.4927253723144</v>
      </c>
      <c r="I34" s="30">
        <v>1.21610939502716</v>
      </c>
      <c r="J34" s="30">
        <v>5.7831497192382804</v>
      </c>
      <c r="K34" s="30">
        <f t="shared" si="14"/>
        <v>28.952979333303226</v>
      </c>
      <c r="L34" s="30">
        <f t="shared" si="15"/>
        <v>89.822883675319076</v>
      </c>
      <c r="M34" s="30" t="s">
        <v>848</v>
      </c>
      <c r="N34" s="30"/>
      <c r="O34" s="30"/>
      <c r="P34" s="30">
        <v>23.1123542785644</v>
      </c>
      <c r="Q34" s="30">
        <v>24.1545600891113</v>
      </c>
      <c r="R34" s="30">
        <v>24.1564331054687</v>
      </c>
      <c r="S34" s="30">
        <v>23.912574768066399</v>
      </c>
      <c r="T34" s="30">
        <v>23.369724273681602</v>
      </c>
      <c r="U34" s="30">
        <v>23.2749214172363</v>
      </c>
      <c r="V34" s="30">
        <v>21.7918281555175</v>
      </c>
      <c r="W34" s="30">
        <v>21.1043167114257</v>
      </c>
      <c r="X34" s="30">
        <v>20.320938110351499</v>
      </c>
      <c r="Y34" s="30">
        <v>17.764095306396399</v>
      </c>
      <c r="Z34" s="30"/>
      <c r="AA34" s="30">
        <f t="shared" si="16"/>
        <v>1</v>
      </c>
      <c r="AB34" s="30">
        <f t="shared" si="17"/>
        <v>1.0450930181315841</v>
      </c>
      <c r="AC34" s="30">
        <f t="shared" si="18"/>
        <v>1.0451740577493931</v>
      </c>
      <c r="AD34" s="30">
        <f t="shared" si="19"/>
        <v>1.0346230626208497</v>
      </c>
      <c r="AE34" s="30">
        <f t="shared" si="20"/>
        <v>1.0111356027177163</v>
      </c>
      <c r="AF34" s="30">
        <f t="shared" si="21"/>
        <v>1.0070337766855137</v>
      </c>
      <c r="AG34" s="30">
        <f t="shared" si="22"/>
        <v>0.94286492379222375</v>
      </c>
      <c r="AH34" s="30">
        <f t="shared" si="23"/>
        <v>0.91311843255184699</v>
      </c>
      <c r="AI34" s="30">
        <f t="shared" si="24"/>
        <v>0.87922406629073668</v>
      </c>
      <c r="AJ34" s="30">
        <f t="shared" si="25"/>
        <v>0.76859739567386887</v>
      </c>
    </row>
    <row r="37" spans="1:36" x14ac:dyDescent="0.25">
      <c r="E37">
        <f>AVERAGE(E4:E9)</f>
        <v>0.20672333333333334</v>
      </c>
      <c r="K37">
        <f>AVERAGE(K4:K9)</f>
        <v>17.658429486422964</v>
      </c>
      <c r="L37">
        <f>AVERAGE(L4:L9)</f>
        <v>85.129295499777911</v>
      </c>
    </row>
    <row r="39" spans="1:36" x14ac:dyDescent="0.25">
      <c r="E39">
        <f>AVERAGE(E11:E22)</f>
        <v>0.19363975897431376</v>
      </c>
      <c r="K39">
        <f>AVERAGE(K11:K22)</f>
        <v>20.951113570082345</v>
      </c>
      <c r="L39">
        <f>AVERAGE(L11:L22)</f>
        <v>110.19064724468427</v>
      </c>
    </row>
    <row r="41" spans="1:36" x14ac:dyDescent="0.25">
      <c r="E41">
        <f>AVERAGE(E24:E34)</f>
        <v>0.24666466767137696</v>
      </c>
      <c r="K41">
        <f>AVERAGE(K24:K34)</f>
        <v>21.187146841877386</v>
      </c>
      <c r="L41">
        <f>AVERAGE(L24:L34)</f>
        <v>83.939486376921408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BD14-6A1A-4255-A0A7-FF1C8687B501}">
  <dimension ref="A1:AH44"/>
  <sheetViews>
    <sheetView topLeftCell="J6" workbookViewId="0">
      <selection activeCell="AA3" sqref="AA3:AA37"/>
    </sheetView>
  </sheetViews>
  <sheetFormatPr defaultRowHeight="15" x14ac:dyDescent="0.25"/>
  <sheetData>
    <row r="1" spans="1:34" ht="45" x14ac:dyDescent="0.25">
      <c r="A1" s="7" t="s">
        <v>552</v>
      </c>
      <c r="B1" s="27" t="s">
        <v>4</v>
      </c>
      <c r="C1" s="7" t="s">
        <v>5</v>
      </c>
      <c r="D1" s="7" t="s">
        <v>6</v>
      </c>
      <c r="E1" s="7" t="s">
        <v>7</v>
      </c>
      <c r="F1" s="7" t="s">
        <v>36</v>
      </c>
      <c r="G1" s="26" t="s">
        <v>553</v>
      </c>
      <c r="H1" s="7" t="s">
        <v>8</v>
      </c>
      <c r="I1" s="7" t="s">
        <v>9</v>
      </c>
      <c r="J1" s="7" t="s">
        <v>10</v>
      </c>
      <c r="K1" s="27" t="s">
        <v>79</v>
      </c>
      <c r="L1" s="7" t="s">
        <v>110</v>
      </c>
      <c r="N1" t="s">
        <v>470</v>
      </c>
      <c r="Y1" t="s">
        <v>471</v>
      </c>
    </row>
    <row r="2" spans="1:34" x14ac:dyDescent="0.25">
      <c r="N2" s="26" t="s">
        <v>395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Y2" t="s">
        <v>395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</row>
    <row r="3" spans="1:34" x14ac:dyDescent="0.25">
      <c r="A3" t="s">
        <v>554</v>
      </c>
      <c r="B3" t="s">
        <v>555</v>
      </c>
      <c r="C3">
        <v>1</v>
      </c>
      <c r="D3">
        <v>-67.5</v>
      </c>
      <c r="E3">
        <v>0.177497074007988</v>
      </c>
      <c r="F3">
        <v>2.2510900497436501</v>
      </c>
      <c r="G3">
        <v>4.6394615173339799</v>
      </c>
      <c r="H3">
        <v>14.6595649719238</v>
      </c>
      <c r="I3">
        <v>17.742136931483522</v>
      </c>
      <c r="J3">
        <v>99.957348765563665</v>
      </c>
      <c r="N3">
        <v>13.1293983459472</v>
      </c>
      <c r="O3">
        <v>14.182533264160099</v>
      </c>
      <c r="P3">
        <v>14.278087615966699</v>
      </c>
      <c r="Q3">
        <v>14.2943611145019</v>
      </c>
      <c r="R3">
        <v>13.1281204223632</v>
      </c>
      <c r="S3">
        <v>12.7360534667968</v>
      </c>
      <c r="T3">
        <v>11.951805114746</v>
      </c>
      <c r="U3">
        <v>10.8301391601562</v>
      </c>
      <c r="V3">
        <v>10.9143524169921</v>
      </c>
      <c r="W3">
        <v>10.446304321289</v>
      </c>
      <c r="Y3">
        <v>1</v>
      </c>
      <c r="Z3">
        <v>1.0802119709116742</v>
      </c>
      <c r="AA3">
        <v>1.0874898635682022</v>
      </c>
      <c r="AB3">
        <v>1.0887293338094433</v>
      </c>
      <c r="AC3">
        <v>0.99990266701105956</v>
      </c>
      <c r="AD3">
        <v>0.97004090600451487</v>
      </c>
      <c r="AE3">
        <v>0.91030866760435358</v>
      </c>
      <c r="AF3">
        <v>0.82487703356942188</v>
      </c>
      <c r="AG3">
        <v>0.83129113226739415</v>
      </c>
      <c r="AH3">
        <v>0.79564227133938548</v>
      </c>
    </row>
    <row r="4" spans="1:34" x14ac:dyDescent="0.25">
      <c r="B4" t="s">
        <v>556</v>
      </c>
      <c r="C4">
        <v>2</v>
      </c>
      <c r="D4">
        <v>-78.58</v>
      </c>
      <c r="E4">
        <v>0.29125329852104198</v>
      </c>
      <c r="F4">
        <v>1.3286588191986</v>
      </c>
      <c r="G4">
        <v>6.2925767898559499</v>
      </c>
      <c r="H4">
        <v>12.550895690917899</v>
      </c>
      <c r="I4">
        <v>14.389549084666923</v>
      </c>
      <c r="J4">
        <v>49.405617576644651</v>
      </c>
      <c r="K4" t="s">
        <v>567</v>
      </c>
      <c r="N4">
        <v>11.662612915039</v>
      </c>
      <c r="O4">
        <v>12.0694427490234</v>
      </c>
      <c r="P4">
        <v>13.221435546875</v>
      </c>
      <c r="Q4">
        <v>13.0915222167968</v>
      </c>
      <c r="R4">
        <v>12.611831665039</v>
      </c>
      <c r="S4">
        <v>12.160850524902299</v>
      </c>
      <c r="T4">
        <v>11.191215515136699</v>
      </c>
      <c r="U4">
        <v>11.0198822021484</v>
      </c>
      <c r="V4">
        <v>10.320327758789</v>
      </c>
      <c r="W4">
        <v>9.8622817993163991</v>
      </c>
      <c r="Y4">
        <v>1</v>
      </c>
      <c r="Z4">
        <v>1.0348832493154076</v>
      </c>
      <c r="AA4">
        <v>1.1336598104723077</v>
      </c>
      <c r="AB4">
        <v>1.1225205116698347</v>
      </c>
      <c r="AC4">
        <v>1.0813898872332441</v>
      </c>
      <c r="AD4">
        <v>1.0427209248470228</v>
      </c>
      <c r="AE4">
        <v>0.95958046422903809</v>
      </c>
      <c r="AF4">
        <v>0.94488964715087165</v>
      </c>
      <c r="AG4">
        <v>0.88490699588261934</v>
      </c>
      <c r="AH4">
        <v>0.84563226707103822</v>
      </c>
    </row>
    <row r="5" spans="1:34" x14ac:dyDescent="0.25">
      <c r="B5" t="s">
        <v>557</v>
      </c>
      <c r="C5">
        <v>3</v>
      </c>
      <c r="D5">
        <v>-70.45</v>
      </c>
      <c r="E5">
        <v>0.18057850003242501</v>
      </c>
      <c r="F5">
        <v>1.0259274244308401</v>
      </c>
      <c r="G5">
        <v>4.9764103889465297</v>
      </c>
      <c r="H5">
        <v>16.366844177246001</v>
      </c>
      <c r="I5">
        <v>20.103103860600992</v>
      </c>
      <c r="J5">
        <v>111.32612053478815</v>
      </c>
      <c r="N5">
        <v>13.9051513671875</v>
      </c>
      <c r="O5">
        <v>15.9550628662109</v>
      </c>
      <c r="P5">
        <v>16.281368255615199</v>
      </c>
      <c r="Q5">
        <v>15.9440307617187</v>
      </c>
      <c r="R5">
        <v>14.3773345947265</v>
      </c>
      <c r="S5">
        <v>14.189952850341699</v>
      </c>
      <c r="T5">
        <v>13.712043762206999</v>
      </c>
      <c r="U5">
        <v>12.2210998535156</v>
      </c>
      <c r="V5">
        <v>12.2107810974121</v>
      </c>
      <c r="W5">
        <v>10.6826934814453</v>
      </c>
      <c r="Y5">
        <v>1</v>
      </c>
      <c r="Z5">
        <v>1.1474210128960303</v>
      </c>
      <c r="AA5">
        <v>1.1708875240319172</v>
      </c>
      <c r="AB5">
        <v>1.1466276303429834</v>
      </c>
      <c r="AC5">
        <v>1.0339574316791134</v>
      </c>
      <c r="AD5">
        <v>1.0204817247675746</v>
      </c>
      <c r="AE5">
        <v>0.98611251327790761</v>
      </c>
      <c r="AF5">
        <v>0.87889009841016053</v>
      </c>
      <c r="AG5">
        <v>0.87814801687282118</v>
      </c>
      <c r="AH5">
        <v>0.76825438280762959</v>
      </c>
    </row>
    <row r="6" spans="1:34" x14ac:dyDescent="0.25">
      <c r="B6" t="s">
        <v>558</v>
      </c>
      <c r="C6">
        <v>4</v>
      </c>
      <c r="D6">
        <v>-63.57</v>
      </c>
      <c r="E6">
        <v>0.338098585605621</v>
      </c>
      <c r="F6">
        <v>1.03478348255157</v>
      </c>
      <c r="G6">
        <v>5.0199108123779297</v>
      </c>
      <c r="H6">
        <v>18.307125091552699</v>
      </c>
      <c r="I6">
        <v>23.787441901309752</v>
      </c>
      <c r="J6">
        <v>70.35652591891315</v>
      </c>
      <c r="K6" t="s">
        <v>568</v>
      </c>
      <c r="N6">
        <v>16.101833343505799</v>
      </c>
      <c r="O6">
        <v>17.5376281738281</v>
      </c>
      <c r="P6">
        <v>18.418697357177699</v>
      </c>
      <c r="Q6">
        <v>17.850322723388601</v>
      </c>
      <c r="R6">
        <v>17.288475036621001</v>
      </c>
      <c r="S6">
        <v>16.41011428833</v>
      </c>
      <c r="T6">
        <v>16.608329772949201</v>
      </c>
      <c r="U6">
        <v>15.487407684326101</v>
      </c>
      <c r="V6">
        <v>15.2984161376953</v>
      </c>
      <c r="W6">
        <v>14.8951568603515</v>
      </c>
      <c r="Y6">
        <v>1</v>
      </c>
      <c r="Z6">
        <v>1.0891696491754703</v>
      </c>
      <c r="AA6">
        <v>1.1438882122454919</v>
      </c>
      <c r="AB6">
        <v>1.1085894595094665</v>
      </c>
      <c r="AC6">
        <v>1.0736960610509485</v>
      </c>
      <c r="AD6">
        <v>1.0191457046068941</v>
      </c>
      <c r="AE6">
        <v>1.0314558236095321</v>
      </c>
      <c r="AF6">
        <v>0.96184126080105603</v>
      </c>
      <c r="AG6">
        <v>0.95010399196967632</v>
      </c>
      <c r="AH6">
        <v>0.92505968373837533</v>
      </c>
    </row>
    <row r="7" spans="1:34" x14ac:dyDescent="0.25">
      <c r="B7" t="s">
        <v>559</v>
      </c>
      <c r="C7">
        <v>5</v>
      </c>
      <c r="D7">
        <v>-75.06</v>
      </c>
      <c r="E7">
        <v>0.16021358966827401</v>
      </c>
      <c r="F7">
        <v>1.530247092247</v>
      </c>
      <c r="G7">
        <v>4.5209417343139604</v>
      </c>
      <c r="H7">
        <v>14.0425615310668</v>
      </c>
      <c r="I7">
        <v>16.514202385094887</v>
      </c>
      <c r="J7">
        <v>103.07616488269147</v>
      </c>
      <c r="N7">
        <v>13.1560974121093</v>
      </c>
      <c r="O7">
        <v>14.8484344482421</v>
      </c>
      <c r="P7">
        <v>14.960426330566399</v>
      </c>
      <c r="Q7">
        <v>14.421142578125</v>
      </c>
      <c r="R7">
        <v>13.9602241516113</v>
      </c>
      <c r="S7">
        <v>13.036876678466699</v>
      </c>
      <c r="T7">
        <v>12.6387825012207</v>
      </c>
      <c r="U7">
        <v>12.2467231750488</v>
      </c>
      <c r="V7">
        <v>11.7687721252441</v>
      </c>
      <c r="W7">
        <v>9.4770317077636701</v>
      </c>
      <c r="Y7">
        <v>1</v>
      </c>
      <c r="Z7">
        <v>1.1286351858853765</v>
      </c>
      <c r="AA7">
        <v>1.1371477317275209</v>
      </c>
      <c r="AB7">
        <v>1.0961565672850151</v>
      </c>
      <c r="AC7">
        <v>1.0611219812618486</v>
      </c>
      <c r="AD7">
        <v>0.99093798640219355</v>
      </c>
      <c r="AE7">
        <v>0.9606786956128458</v>
      </c>
      <c r="AF7">
        <v>0.93087811616357574</v>
      </c>
      <c r="AG7">
        <v>0.89454887392455296</v>
      </c>
      <c r="AH7">
        <v>0.72035280759176357</v>
      </c>
    </row>
    <row r="8" spans="1:34" x14ac:dyDescent="0.25">
      <c r="B8" t="s">
        <v>560</v>
      </c>
      <c r="C8">
        <v>6</v>
      </c>
      <c r="D8">
        <v>-83.34</v>
      </c>
      <c r="E8">
        <v>0.24481450021266901</v>
      </c>
      <c r="F8">
        <v>1.42133772373199</v>
      </c>
      <c r="G8">
        <v>6.8396463394165004</v>
      </c>
      <c r="H8">
        <v>17.183792114257798</v>
      </c>
      <c r="I8">
        <v>20.57818930223414</v>
      </c>
      <c r="J8">
        <v>84.0562519146455</v>
      </c>
      <c r="N8">
        <v>14.6942596435546</v>
      </c>
      <c r="O8">
        <v>15.6775360107421</v>
      </c>
      <c r="P8">
        <v>17.0278015136718</v>
      </c>
      <c r="Q8">
        <v>15.9810485839843</v>
      </c>
      <c r="R8">
        <v>15.998046875</v>
      </c>
      <c r="S8">
        <v>15.316795349121</v>
      </c>
      <c r="T8">
        <v>15.7660369873046</v>
      </c>
      <c r="U8">
        <v>13.641273498535099</v>
      </c>
      <c r="V8">
        <v>14.475059509277299</v>
      </c>
      <c r="W8">
        <v>13.227775573730399</v>
      </c>
      <c r="Y8">
        <v>1</v>
      </c>
      <c r="Z8">
        <v>1.0669156793904073</v>
      </c>
      <c r="AA8">
        <v>1.158806358858697</v>
      </c>
      <c r="AB8">
        <v>1.0875708590731299</v>
      </c>
      <c r="AC8">
        <v>1.0887276571308773</v>
      </c>
      <c r="AD8">
        <v>1.0423659116326738</v>
      </c>
      <c r="AE8">
        <v>1.0729385059028895</v>
      </c>
      <c r="AF8">
        <v>0.92834030631265074</v>
      </c>
      <c r="AG8">
        <v>0.98508260098878475</v>
      </c>
      <c r="AH8">
        <v>0.90020020706062243</v>
      </c>
    </row>
    <row r="9" spans="1:34" x14ac:dyDescent="0.25">
      <c r="B9" t="s">
        <v>561</v>
      </c>
      <c r="C9">
        <v>7</v>
      </c>
      <c r="D9">
        <v>-87.99</v>
      </c>
      <c r="E9">
        <v>0.15949198603630099</v>
      </c>
      <c r="F9">
        <v>1.7731790542602499</v>
      </c>
      <c r="G9">
        <v>3.6344308853149401</v>
      </c>
      <c r="H9">
        <v>11.934318542480399</v>
      </c>
      <c r="I9">
        <v>13.386876806845301</v>
      </c>
      <c r="J9">
        <v>83.934479339911135</v>
      </c>
      <c r="N9">
        <v>10.0693359375</v>
      </c>
      <c r="O9">
        <v>10.600807189941399</v>
      </c>
      <c r="P9">
        <v>11.250099182128899</v>
      </c>
      <c r="Q9">
        <v>10.5059509277343</v>
      </c>
      <c r="R9">
        <v>9.9359283447265607</v>
      </c>
      <c r="S9">
        <v>9.0747833251953107</v>
      </c>
      <c r="T9">
        <v>9.6559066772460902</v>
      </c>
      <c r="U9">
        <v>9.0904998779296804</v>
      </c>
      <c r="V9">
        <v>7.5802688598632804</v>
      </c>
      <c r="W9">
        <v>7.1498336791992099</v>
      </c>
      <c r="Y9">
        <v>1</v>
      </c>
      <c r="Z9">
        <v>1.0527811621084271</v>
      </c>
      <c r="AA9">
        <v>1.1172632685966437</v>
      </c>
      <c r="AB9">
        <v>1.0433608524876272</v>
      </c>
      <c r="AC9">
        <v>0.98675110319076698</v>
      </c>
      <c r="AD9">
        <v>0.90122957278634452</v>
      </c>
      <c r="AE9">
        <v>0.95894175516438718</v>
      </c>
      <c r="AF9">
        <v>0.90279040587721782</v>
      </c>
      <c r="AG9">
        <v>0.75280722650567344</v>
      </c>
      <c r="AH9">
        <v>0.71006009965085748</v>
      </c>
    </row>
    <row r="10" spans="1:34" x14ac:dyDescent="0.25">
      <c r="B10" t="s">
        <v>562</v>
      </c>
      <c r="C10">
        <v>8</v>
      </c>
      <c r="D10">
        <v>-74.709999999999994</v>
      </c>
      <c r="E10">
        <v>0.13180990517139399</v>
      </c>
      <c r="F10">
        <v>2.2106661796569802</v>
      </c>
      <c r="G10">
        <v>3.2053458690643302</v>
      </c>
      <c r="H10">
        <v>9.2966079711913991</v>
      </c>
      <c r="I10">
        <v>10.324387766182879</v>
      </c>
      <c r="J10">
        <v>78.327859751950768</v>
      </c>
      <c r="N10">
        <v>7.8357772827148402</v>
      </c>
      <c r="O10">
        <v>8.8304367065429599</v>
      </c>
      <c r="P10">
        <v>9.4059143066406197</v>
      </c>
      <c r="Q10">
        <v>8.4754486083984304</v>
      </c>
      <c r="R10">
        <v>8.0830993652343697</v>
      </c>
      <c r="S10">
        <v>8.8191375732421804</v>
      </c>
      <c r="T10">
        <v>7.7136917114257804</v>
      </c>
      <c r="U10">
        <v>7.8700790405273402</v>
      </c>
      <c r="V10">
        <v>6.9745788574218697</v>
      </c>
      <c r="W10">
        <v>6.8207244873046804</v>
      </c>
      <c r="Y10">
        <v>1</v>
      </c>
      <c r="Z10">
        <v>1.1269381948900292</v>
      </c>
      <c r="AA10">
        <v>1.2003805069076412</v>
      </c>
      <c r="AB10">
        <v>1.0816346997374031</v>
      </c>
      <c r="AC10">
        <v>1.031563184301461</v>
      </c>
      <c r="AD10">
        <v>1.1254962022333843</v>
      </c>
      <c r="AE10">
        <v>0.98441946894555421</v>
      </c>
      <c r="AF10">
        <v>1.0043775820285459</v>
      </c>
      <c r="AG10">
        <v>0.89009406543589331</v>
      </c>
      <c r="AH10">
        <v>0.87045920796532938</v>
      </c>
    </row>
    <row r="11" spans="1:34" x14ac:dyDescent="0.25">
      <c r="B11" t="s">
        <v>563</v>
      </c>
      <c r="C11">
        <v>9</v>
      </c>
      <c r="D11">
        <v>-70.33</v>
      </c>
      <c r="E11">
        <v>0.25410196185112</v>
      </c>
      <c r="F11">
        <v>1.6018996238708501</v>
      </c>
      <c r="G11">
        <v>7.1677827835082999</v>
      </c>
      <c r="H11">
        <v>11.2434768676757</v>
      </c>
      <c r="I11">
        <v>12.892327562639892</v>
      </c>
      <c r="J11">
        <v>50.73682811702804</v>
      </c>
      <c r="N11">
        <v>9.7106819152831996</v>
      </c>
      <c r="O11">
        <v>10.4874458312988</v>
      </c>
      <c r="P11">
        <v>10.6201820373535</v>
      </c>
      <c r="Q11">
        <v>10.6777648925781</v>
      </c>
      <c r="R11">
        <v>10.1556892395019</v>
      </c>
      <c r="S11">
        <v>10.4835205078125</v>
      </c>
      <c r="T11">
        <v>9.5916557312011701</v>
      </c>
      <c r="U11">
        <v>10.1357421875</v>
      </c>
      <c r="V11">
        <v>9.6276893615722603</v>
      </c>
      <c r="W11">
        <v>8.7129821777343697</v>
      </c>
      <c r="Y11">
        <v>1</v>
      </c>
      <c r="Z11">
        <v>1.0799906662366405</v>
      </c>
      <c r="AA11">
        <v>1.0936597583985197</v>
      </c>
      <c r="AB11">
        <v>1.0995896051103118</v>
      </c>
      <c r="AC11">
        <v>1.0458265782054217</v>
      </c>
      <c r="AD11">
        <v>1.07958643885894</v>
      </c>
      <c r="AE11">
        <v>0.98774275739639872</v>
      </c>
      <c r="AF11">
        <v>1.0437724431636277</v>
      </c>
      <c r="AG11">
        <v>0.99145347829998209</v>
      </c>
      <c r="AH11">
        <v>0.89725749991062975</v>
      </c>
    </row>
    <row r="12" spans="1:34" x14ac:dyDescent="0.25">
      <c r="B12" t="s">
        <v>564</v>
      </c>
      <c r="C12">
        <v>10</v>
      </c>
      <c r="D12">
        <v>-61.8</v>
      </c>
      <c r="E12">
        <v>0.129015862941742</v>
      </c>
      <c r="F12">
        <v>3.3519592285156201</v>
      </c>
      <c r="G12">
        <v>5.59167051315307</v>
      </c>
      <c r="H12">
        <v>11.411632537841699</v>
      </c>
      <c r="I12">
        <v>13.389587979303347</v>
      </c>
      <c r="J12">
        <v>103.78249367172397</v>
      </c>
      <c r="N12">
        <v>11.0151710510253</v>
      </c>
      <c r="O12">
        <v>11.5827569961547</v>
      </c>
      <c r="P12">
        <v>11.740421295166</v>
      </c>
      <c r="Q12">
        <v>11.672218322753899</v>
      </c>
      <c r="R12">
        <v>11.0298814773559</v>
      </c>
      <c r="S12">
        <v>10.5095987319946</v>
      </c>
      <c r="T12">
        <v>9.35841464996337</v>
      </c>
      <c r="U12">
        <v>9.3852567672729403</v>
      </c>
      <c r="V12">
        <v>9.9523725509643501</v>
      </c>
      <c r="W12">
        <v>8.31916999816894</v>
      </c>
      <c r="Y12">
        <v>1</v>
      </c>
      <c r="Z12">
        <v>1.0515276560391287</v>
      </c>
      <c r="AA12">
        <v>1.0658410333149746</v>
      </c>
      <c r="AB12">
        <v>1.0596493026467746</v>
      </c>
      <c r="AC12">
        <v>1.0013354696229824</v>
      </c>
      <c r="AD12">
        <v>0.95410218173746464</v>
      </c>
      <c r="AE12">
        <v>0.84959322071465082</v>
      </c>
      <c r="AF12">
        <v>0.85203005235214702</v>
      </c>
      <c r="AG12">
        <v>0.90351502531029482</v>
      </c>
      <c r="AH12">
        <v>0.75524655583034139</v>
      </c>
    </row>
    <row r="13" spans="1:34" x14ac:dyDescent="0.25">
      <c r="B13" t="s">
        <v>565</v>
      </c>
      <c r="C13">
        <v>11</v>
      </c>
      <c r="D13">
        <v>-68.12</v>
      </c>
      <c r="E13">
        <v>0.163061052560806</v>
      </c>
      <c r="F13">
        <v>1.1383349895477299</v>
      </c>
      <c r="G13">
        <v>3.1736605167388898</v>
      </c>
      <c r="H13">
        <v>14.4942932128906</v>
      </c>
      <c r="I13">
        <v>17.467648732130481</v>
      </c>
      <c r="J13">
        <v>107.12336549904667</v>
      </c>
      <c r="N13">
        <v>13.2581481933593</v>
      </c>
      <c r="O13">
        <v>13.664623260498001</v>
      </c>
      <c r="P13">
        <v>14.5692024230957</v>
      </c>
      <c r="Q13">
        <v>13.822959899902299</v>
      </c>
      <c r="R13">
        <v>13.100730895996</v>
      </c>
      <c r="S13">
        <v>12.561561584472599</v>
      </c>
      <c r="T13">
        <v>12.0702667236328</v>
      </c>
      <c r="U13">
        <v>10.4955749511718</v>
      </c>
      <c r="V13">
        <v>10.768291473388601</v>
      </c>
      <c r="W13">
        <v>10.259666442871</v>
      </c>
      <c r="Y13">
        <v>1</v>
      </c>
      <c r="Z13">
        <v>1.0306585098620555</v>
      </c>
      <c r="AA13">
        <v>1.0988866778841011</v>
      </c>
      <c r="AB13">
        <v>1.0426011007197746</v>
      </c>
      <c r="AC13">
        <v>0.9881267508050523</v>
      </c>
      <c r="AD13">
        <v>0.94745973579963416</v>
      </c>
      <c r="AE13">
        <v>0.91040366630375402</v>
      </c>
      <c r="AF13">
        <v>0.79163204378940277</v>
      </c>
      <c r="AG13">
        <v>0.81220177330512788</v>
      </c>
      <c r="AH13">
        <v>0.77383857030726422</v>
      </c>
    </row>
    <row r="14" spans="1:34" x14ac:dyDescent="0.25">
      <c r="B14" t="s">
        <v>566</v>
      </c>
      <c r="C14">
        <v>12</v>
      </c>
      <c r="D14">
        <v>-66.23</v>
      </c>
      <c r="E14">
        <v>0.17362371087074299</v>
      </c>
      <c r="F14">
        <v>1.5057718753814699</v>
      </c>
      <c r="G14">
        <v>3.0532197952270499</v>
      </c>
      <c r="H14">
        <v>14.1907615661621</v>
      </c>
      <c r="I14">
        <v>17.126436328919137</v>
      </c>
      <c r="J14">
        <v>98.641114413625175</v>
      </c>
      <c r="N14">
        <v>13.3765296936035</v>
      </c>
      <c r="O14">
        <v>13.9542236328125</v>
      </c>
      <c r="P14">
        <v>14.018016815185501</v>
      </c>
      <c r="Q14">
        <v>14.344154357910099</v>
      </c>
      <c r="R14">
        <v>13.071342468261699</v>
      </c>
      <c r="S14">
        <v>12.431884765625</v>
      </c>
      <c r="T14">
        <v>10.6868934631347</v>
      </c>
      <c r="U14">
        <v>10.6185607910156</v>
      </c>
      <c r="V14">
        <v>10.538139343261699</v>
      </c>
      <c r="W14">
        <v>10.6521911621093</v>
      </c>
      <c r="Y14">
        <v>1</v>
      </c>
      <c r="Z14">
        <v>1.0431871309256875</v>
      </c>
      <c r="AA14">
        <v>1.0479561692214352</v>
      </c>
      <c r="AB14">
        <v>1.0723374960823588</v>
      </c>
      <c r="AC14">
        <v>0.97718487288315614</v>
      </c>
      <c r="AD14">
        <v>0.92938041856773823</v>
      </c>
      <c r="AE14">
        <v>0.7989286988422003</v>
      </c>
      <c r="AF14">
        <v>0.79382029825667499</v>
      </c>
      <c r="AG14">
        <v>0.78780816733811865</v>
      </c>
      <c r="AH14">
        <v>0.79633443098497014</v>
      </c>
    </row>
    <row r="16" spans="1:34" x14ac:dyDescent="0.25">
      <c r="A16" t="s">
        <v>580</v>
      </c>
      <c r="B16" t="s">
        <v>569</v>
      </c>
      <c r="C16">
        <v>1</v>
      </c>
      <c r="D16">
        <v>-62.57</v>
      </c>
      <c r="E16">
        <v>0.149017244577408</v>
      </c>
      <c r="F16">
        <v>1.4177209138870199</v>
      </c>
      <c r="G16">
        <v>3.3222639560699401</v>
      </c>
      <c r="H16">
        <v>15.0186195373535</v>
      </c>
      <c r="I16">
        <v>18.587935603346676</v>
      </c>
      <c r="J16">
        <v>124.73680919318736</v>
      </c>
      <c r="N16">
        <v>12.667194366455</v>
      </c>
      <c r="O16">
        <v>14.3199501037597</v>
      </c>
      <c r="P16">
        <v>15.067146301269499</v>
      </c>
      <c r="Q16">
        <v>14.4791564941406</v>
      </c>
      <c r="R16">
        <v>14.0806427001953</v>
      </c>
      <c r="S16">
        <v>13.644908905029199</v>
      </c>
      <c r="T16">
        <v>12.513648986816399</v>
      </c>
      <c r="U16">
        <v>12.3046913146972</v>
      </c>
      <c r="V16">
        <v>12.830471038818301</v>
      </c>
      <c r="W16">
        <v>11.303813934326101</v>
      </c>
      <c r="Y16">
        <v>1</v>
      </c>
      <c r="Z16">
        <v>1.1304752804363287</v>
      </c>
      <c r="AA16">
        <v>1.189461996507293</v>
      </c>
      <c r="AB16">
        <v>1.1430436823866854</v>
      </c>
      <c r="AC16">
        <v>1.1115833777275388</v>
      </c>
      <c r="AD16">
        <v>1.0771847743304044</v>
      </c>
      <c r="AE16">
        <v>0.98787850133213262</v>
      </c>
      <c r="AF16">
        <v>0.97138253023749499</v>
      </c>
      <c r="AG16">
        <v>1.0128897266150496</v>
      </c>
      <c r="AH16">
        <v>0.89236918668119791</v>
      </c>
    </row>
    <row r="17" spans="1:34" x14ac:dyDescent="0.25">
      <c r="B17" t="s">
        <v>570</v>
      </c>
      <c r="C17">
        <v>2</v>
      </c>
      <c r="D17">
        <v>-62.98</v>
      </c>
      <c r="E17">
        <v>0.12713362276554099</v>
      </c>
      <c r="F17">
        <v>1.1026964187621999</v>
      </c>
      <c r="G17">
        <v>2.9737048149108798</v>
      </c>
      <c r="H17">
        <v>15.311809539794901</v>
      </c>
      <c r="I17">
        <v>19.009013696871403</v>
      </c>
      <c r="J17">
        <v>149.51995611678353</v>
      </c>
      <c r="K17" t="s">
        <v>571</v>
      </c>
      <c r="N17">
        <v>12.5284271240234</v>
      </c>
      <c r="O17">
        <v>14.730892181396401</v>
      </c>
      <c r="P17">
        <v>14.950523376464799</v>
      </c>
      <c r="Q17">
        <v>14.4600677490234</v>
      </c>
      <c r="R17">
        <v>13.9052581787109</v>
      </c>
      <c r="S17">
        <v>12.5009422302246</v>
      </c>
      <c r="T17">
        <v>13.2492065429687</v>
      </c>
      <c r="U17">
        <v>12.048770904541</v>
      </c>
      <c r="V17">
        <v>12.12593460083</v>
      </c>
      <c r="W17">
        <v>11.3535766601562</v>
      </c>
      <c r="Y17">
        <v>1</v>
      </c>
      <c r="Z17">
        <v>1.1757974114044811</v>
      </c>
      <c r="AA17">
        <v>1.1933280393830925</v>
      </c>
      <c r="AB17">
        <v>1.1541806170781053</v>
      </c>
      <c r="AC17">
        <v>1.1098965609216349</v>
      </c>
      <c r="AD17">
        <v>0.9978061975755842</v>
      </c>
      <c r="AE17">
        <v>1.057531517069944</v>
      </c>
      <c r="AF17">
        <v>0.96171457001472638</v>
      </c>
      <c r="AG17">
        <v>0.96787365890315025</v>
      </c>
      <c r="AH17">
        <v>0.90622522266866123</v>
      </c>
    </row>
    <row r="18" spans="1:34" x14ac:dyDescent="0.25">
      <c r="B18" t="s">
        <v>572</v>
      </c>
      <c r="C18">
        <v>3</v>
      </c>
      <c r="D18">
        <v>-60.17</v>
      </c>
      <c r="E18">
        <v>0.22726128995418499</v>
      </c>
      <c r="F18">
        <v>0.87591975927352905</v>
      </c>
      <c r="G18">
        <v>3.7824456691741899</v>
      </c>
      <c r="H18">
        <v>18.906204223632798</v>
      </c>
      <c r="I18">
        <v>25.254420763491506</v>
      </c>
      <c r="J18">
        <v>111.12504363845994</v>
      </c>
      <c r="K18" t="s">
        <v>571</v>
      </c>
      <c r="N18">
        <v>15.8196058273315</v>
      </c>
      <c r="O18">
        <v>19.539209365844702</v>
      </c>
      <c r="P18">
        <v>18.242437362670799</v>
      </c>
      <c r="Q18">
        <v>18.979875564575099</v>
      </c>
      <c r="R18">
        <v>17.743711471557599</v>
      </c>
      <c r="S18">
        <v>16.543840408325099</v>
      </c>
      <c r="T18">
        <v>16.4112148284912</v>
      </c>
      <c r="U18">
        <v>15.1253499984741</v>
      </c>
      <c r="V18">
        <v>14.202017784118601</v>
      </c>
      <c r="W18">
        <v>14.160906791686999</v>
      </c>
      <c r="Y18">
        <v>1</v>
      </c>
      <c r="Z18">
        <v>1.2351261832381975</v>
      </c>
      <c r="AA18">
        <v>1.1531537234103126</v>
      </c>
      <c r="AB18">
        <v>1.1997691833625594</v>
      </c>
      <c r="AC18">
        <v>1.1216279131874338</v>
      </c>
      <c r="AD18">
        <v>1.0457808234224357</v>
      </c>
      <c r="AE18">
        <v>1.0373972024092775</v>
      </c>
      <c r="AF18">
        <v>0.95611421444787603</v>
      </c>
      <c r="AG18">
        <v>0.89774789202280902</v>
      </c>
      <c r="AH18">
        <v>0.89514915518446292</v>
      </c>
    </row>
    <row r="19" spans="1:34" x14ac:dyDescent="0.25">
      <c r="B19" t="s">
        <v>573</v>
      </c>
      <c r="C19">
        <v>4</v>
      </c>
      <c r="D19">
        <v>-52.07</v>
      </c>
      <c r="E19">
        <v>0.123012110590935</v>
      </c>
      <c r="F19">
        <v>0.92274391651153598</v>
      </c>
      <c r="G19">
        <v>1.6884473562240601</v>
      </c>
      <c r="H19">
        <v>13.4011993408203</v>
      </c>
      <c r="I19">
        <v>16.875855903235859</v>
      </c>
      <c r="J19">
        <v>137.18857291502707</v>
      </c>
      <c r="N19">
        <v>13.3257751464843</v>
      </c>
      <c r="O19">
        <v>12.509426116943301</v>
      </c>
      <c r="P19">
        <v>13.559829711914</v>
      </c>
      <c r="Q19">
        <v>12.8576965332031</v>
      </c>
      <c r="R19">
        <v>11.8921966552734</v>
      </c>
      <c r="S19">
        <v>11.2496070861816</v>
      </c>
      <c r="T19">
        <v>11.7603759765625</v>
      </c>
      <c r="U19">
        <v>10.920783996581999</v>
      </c>
      <c r="V19">
        <v>9.8575744628906197</v>
      </c>
      <c r="W19">
        <v>9.2821159362792898</v>
      </c>
      <c r="Y19">
        <v>1</v>
      </c>
      <c r="Z19">
        <v>0.93873909618260554</v>
      </c>
      <c r="AA19">
        <v>1.0175640488344462</v>
      </c>
      <c r="AB19">
        <v>0.96487419244765715</v>
      </c>
      <c r="AC19">
        <v>0.89242063028587748</v>
      </c>
      <c r="AD19">
        <v>0.84419907754105772</v>
      </c>
      <c r="AE19">
        <v>0.88252847187393857</v>
      </c>
      <c r="AF19">
        <v>0.81952335804369303</v>
      </c>
      <c r="AG19">
        <v>0.73973741523706515</v>
      </c>
      <c r="AH19">
        <v>0.69655354635997757</v>
      </c>
    </row>
    <row r="20" spans="1:34" x14ac:dyDescent="0.25">
      <c r="B20" t="s">
        <v>574</v>
      </c>
      <c r="C20">
        <v>6</v>
      </c>
      <c r="D20">
        <v>-65.59</v>
      </c>
      <c r="E20">
        <v>0.32223218679428101</v>
      </c>
      <c r="F20">
        <v>0.88934701681137096</v>
      </c>
      <c r="G20">
        <v>4.1500043869018501</v>
      </c>
      <c r="H20">
        <v>21.312252044677699</v>
      </c>
      <c r="I20">
        <v>28.798205584584512</v>
      </c>
      <c r="J20">
        <v>89.370977713563477</v>
      </c>
      <c r="N20">
        <v>19.174709320068299</v>
      </c>
      <c r="O20">
        <v>20.749717712402301</v>
      </c>
      <c r="P20">
        <v>21.3841018676757</v>
      </c>
      <c r="Q20">
        <v>20.3611526489257</v>
      </c>
      <c r="R20">
        <v>20.1473388671875</v>
      </c>
      <c r="S20">
        <v>19.3864021301269</v>
      </c>
      <c r="T20">
        <v>19.097557067871001</v>
      </c>
      <c r="U20">
        <v>18.9403266906738</v>
      </c>
      <c r="V20">
        <v>18.359855651855401</v>
      </c>
      <c r="W20">
        <v>16.340370178222599</v>
      </c>
      <c r="Y20">
        <v>1</v>
      </c>
      <c r="Z20">
        <v>1.0821398836375369</v>
      </c>
      <c r="AA20">
        <v>1.1152243046154053</v>
      </c>
      <c r="AB20">
        <v>1.061875427108335</v>
      </c>
      <c r="AC20">
        <v>1.0507246045237955</v>
      </c>
      <c r="AD20">
        <v>1.0110402096076128</v>
      </c>
      <c r="AE20">
        <v>0.99597635349201619</v>
      </c>
      <c r="AF20">
        <v>0.98777647027226667</v>
      </c>
      <c r="AG20">
        <v>0.95750372771700532</v>
      </c>
      <c r="AH20">
        <v>0.85218346236522746</v>
      </c>
    </row>
    <row r="21" spans="1:34" x14ac:dyDescent="0.25">
      <c r="B21" t="s">
        <v>575</v>
      </c>
      <c r="C21">
        <v>7</v>
      </c>
      <c r="D21">
        <v>-59.98</v>
      </c>
      <c r="E21">
        <v>0.32926827669143699</v>
      </c>
      <c r="F21">
        <v>1.07600653171539</v>
      </c>
      <c r="G21">
        <v>6.4009237289428702</v>
      </c>
      <c r="H21">
        <v>22.971717834472599</v>
      </c>
      <c r="I21">
        <v>33.1191508097019</v>
      </c>
      <c r="J21">
        <v>100.58409252932201</v>
      </c>
      <c r="N21">
        <v>20.446975708007798</v>
      </c>
      <c r="O21">
        <v>21.653087615966701</v>
      </c>
      <c r="P21">
        <v>21.150619506835898</v>
      </c>
      <c r="Q21">
        <v>20.333644866943299</v>
      </c>
      <c r="R21">
        <v>20.193996429443299</v>
      </c>
      <c r="S21">
        <v>19.342388153076101</v>
      </c>
      <c r="T21">
        <v>18.790981292724599</v>
      </c>
      <c r="U21">
        <v>18.577976226806602</v>
      </c>
      <c r="V21">
        <v>17.9294929504394</v>
      </c>
      <c r="W21">
        <v>17.69091796875</v>
      </c>
      <c r="Y21">
        <v>1</v>
      </c>
      <c r="Z21">
        <v>1.0589873008694652</v>
      </c>
      <c r="AA21">
        <v>1.0344130989773967</v>
      </c>
      <c r="AB21">
        <v>0.99445732989157343</v>
      </c>
      <c r="AC21">
        <v>0.987627545404408</v>
      </c>
      <c r="AD21">
        <v>0.94597794946765157</v>
      </c>
      <c r="AE21">
        <v>0.91901030064633715</v>
      </c>
      <c r="AF21">
        <v>0.90859286439758291</v>
      </c>
      <c r="AG21">
        <v>0.87687750044215784</v>
      </c>
      <c r="AH21">
        <v>0.86520951662409307</v>
      </c>
    </row>
    <row r="22" spans="1:34" x14ac:dyDescent="0.25">
      <c r="B22" t="s">
        <v>576</v>
      </c>
      <c r="C22">
        <v>8</v>
      </c>
      <c r="D22">
        <v>-63.02</v>
      </c>
      <c r="E22">
        <v>0.33471927046775801</v>
      </c>
      <c r="F22">
        <v>0.89565742015838601</v>
      </c>
      <c r="G22">
        <v>5.5166697502136204</v>
      </c>
      <c r="H22">
        <v>23.3831367492675</v>
      </c>
      <c r="I22">
        <v>33.254100680557784</v>
      </c>
      <c r="J22">
        <v>99.349226694018498</v>
      </c>
      <c r="K22" t="s">
        <v>577</v>
      </c>
      <c r="N22">
        <v>23.5867004394531</v>
      </c>
      <c r="O22">
        <v>25.042015075683501</v>
      </c>
      <c r="P22">
        <v>25.183090209960898</v>
      </c>
      <c r="Q22">
        <v>24.657829284667901</v>
      </c>
      <c r="R22">
        <v>22.620418548583899</v>
      </c>
      <c r="S22">
        <v>22.2285957336425</v>
      </c>
      <c r="T22">
        <v>22.8633728027343</v>
      </c>
      <c r="U22">
        <v>21.768405914306602</v>
      </c>
      <c r="V22">
        <v>21.7966194152832</v>
      </c>
      <c r="W22">
        <v>20.189491271972599</v>
      </c>
      <c r="Y22">
        <v>1</v>
      </c>
      <c r="Z22">
        <v>1.0617006452414226</v>
      </c>
      <c r="AA22">
        <v>1.0676817757789276</v>
      </c>
      <c r="AB22">
        <v>1.0454124072150057</v>
      </c>
      <c r="AC22">
        <v>0.95903276537769067</v>
      </c>
      <c r="AD22">
        <v>0.94242074217642924</v>
      </c>
      <c r="AE22">
        <v>0.96933324190148695</v>
      </c>
      <c r="AF22">
        <v>0.92291017856380342</v>
      </c>
      <c r="AG22">
        <v>0.92410633997896285</v>
      </c>
      <c r="AH22">
        <v>0.85596929183880066</v>
      </c>
    </row>
    <row r="23" spans="1:34" x14ac:dyDescent="0.25">
      <c r="B23" t="s">
        <v>578</v>
      </c>
      <c r="C23">
        <v>9</v>
      </c>
      <c r="D23">
        <v>-64.41</v>
      </c>
      <c r="E23">
        <v>0.155605614185333</v>
      </c>
      <c r="F23">
        <v>1.1672772169113099</v>
      </c>
      <c r="G23">
        <v>3.7762470245361301</v>
      </c>
      <c r="H23">
        <v>10.048927307128899</v>
      </c>
      <c r="I23">
        <v>11.482021545255392</v>
      </c>
      <c r="J23">
        <v>73.78924986331026</v>
      </c>
      <c r="N23">
        <v>9.6189308166503906</v>
      </c>
      <c r="O23">
        <v>10.249992370605399</v>
      </c>
      <c r="P23">
        <v>10.023841857910099</v>
      </c>
      <c r="Q23">
        <v>10.3445053100585</v>
      </c>
      <c r="R23">
        <v>10.7295837402343</v>
      </c>
      <c r="S23">
        <v>9.2438468933105398</v>
      </c>
      <c r="T23">
        <v>9.2663269042968697</v>
      </c>
      <c r="U23">
        <v>9.2391700744628906</v>
      </c>
      <c r="V23">
        <v>8.5486793518066406</v>
      </c>
      <c r="W23">
        <v>8.3299713134765607</v>
      </c>
      <c r="Y23">
        <v>1</v>
      </c>
      <c r="Z23">
        <v>1.0656062057191056</v>
      </c>
      <c r="AA23">
        <v>1.0420952233650342</v>
      </c>
      <c r="AB23">
        <v>1.0754319276475237</v>
      </c>
      <c r="AC23">
        <v>1.115465319873324</v>
      </c>
      <c r="AD23">
        <v>0.96100565328003196</v>
      </c>
      <c r="AE23">
        <v>0.96334271250364301</v>
      </c>
      <c r="AF23">
        <v>0.96051944343646456</v>
      </c>
      <c r="AG23">
        <v>0.88873488278020019</v>
      </c>
      <c r="AH23">
        <v>0.86599763240394267</v>
      </c>
    </row>
    <row r="24" spans="1:34" x14ac:dyDescent="0.25">
      <c r="B24" t="s">
        <v>579</v>
      </c>
      <c r="C24">
        <v>10</v>
      </c>
      <c r="D24">
        <v>-65.8</v>
      </c>
      <c r="E24">
        <v>0.151268675923347</v>
      </c>
      <c r="F24">
        <v>2.2508945465087802</v>
      </c>
      <c r="G24">
        <v>3.1780858039855899</v>
      </c>
      <c r="H24">
        <v>8.0203323364257795</v>
      </c>
      <c r="I24">
        <v>8.8869094451669355</v>
      </c>
      <c r="J24">
        <v>58.749171901724289</v>
      </c>
      <c r="N24">
        <v>8.1260643005371005</v>
      </c>
      <c r="O24">
        <v>8.4805221557617099</v>
      </c>
      <c r="P24">
        <v>8.8272285461425692</v>
      </c>
      <c r="Q24">
        <v>8.2831954956054599</v>
      </c>
      <c r="R24">
        <v>8.7060966491699201</v>
      </c>
      <c r="S24">
        <v>8.1564903259277308</v>
      </c>
      <c r="T24">
        <v>7.6718482971191397</v>
      </c>
      <c r="U24">
        <v>7.6694030761718697</v>
      </c>
      <c r="V24">
        <v>7.34954833984375</v>
      </c>
      <c r="W24">
        <v>6.7405509948730398</v>
      </c>
      <c r="Y24">
        <v>1</v>
      </c>
      <c r="Z24">
        <v>1.0436198683784943</v>
      </c>
      <c r="AA24">
        <v>1.0862858352670339</v>
      </c>
      <c r="AB24">
        <v>1.0193366910790964</v>
      </c>
      <c r="AC24">
        <v>1.0713792467276542</v>
      </c>
      <c r="AD24">
        <v>1.0037442511239567</v>
      </c>
      <c r="AE24">
        <v>0.94410381377514585</v>
      </c>
      <c r="AF24">
        <v>0.94380290292127678</v>
      </c>
      <c r="AG24">
        <v>0.90444132214877671</v>
      </c>
      <c r="AH24">
        <v>0.82949761970595237</v>
      </c>
    </row>
    <row r="26" spans="1:34" x14ac:dyDescent="0.25">
      <c r="A26" t="s">
        <v>595</v>
      </c>
      <c r="B26" t="s">
        <v>581</v>
      </c>
      <c r="C26">
        <v>1</v>
      </c>
      <c r="D26">
        <v>-64.44</v>
      </c>
      <c r="E26">
        <v>0.14879989624023399</v>
      </c>
      <c r="F26">
        <v>1.28006207942962</v>
      </c>
      <c r="G26">
        <v>2.2037320137023899</v>
      </c>
      <c r="H26">
        <v>10.861564636230399</v>
      </c>
      <c r="I26">
        <f t="shared" ref="I26:I37" si="0">H26/(1-(0.8*(H26/(ABS(D26)))))</f>
        <v>12.5544364266673</v>
      </c>
      <c r="J26">
        <f t="shared" ref="J26:J37" si="1">I26/E26</f>
        <v>84.371271377759925</v>
      </c>
      <c r="N26">
        <v>10.5880470275878</v>
      </c>
      <c r="O26">
        <v>11.9157600402832</v>
      </c>
      <c r="P26">
        <v>11.2341499328613</v>
      </c>
      <c r="Q26">
        <v>11.360588073730399</v>
      </c>
      <c r="R26">
        <v>10.7161903381347</v>
      </c>
      <c r="S26">
        <v>10.133674621581999</v>
      </c>
      <c r="T26">
        <v>10.092567443847599</v>
      </c>
      <c r="U26">
        <v>9.6107444763183505</v>
      </c>
      <c r="V26">
        <v>8.6291618347167898</v>
      </c>
      <c r="W26">
        <v>9.12567138671875</v>
      </c>
      <c r="Y26">
        <f>N26/N26</f>
        <v>1</v>
      </c>
      <c r="Z26">
        <f>O26/N26</f>
        <v>1.1253973475217822</v>
      </c>
      <c r="AA26">
        <f>P26/N26</f>
        <v>1.0610219149565581</v>
      </c>
      <c r="AB26">
        <f>Q26/N26</f>
        <v>1.072963507257731</v>
      </c>
      <c r="AC26">
        <f>R26/N26</f>
        <v>1.0121026389676033</v>
      </c>
      <c r="AD26">
        <f>S26/N26</f>
        <v>0.95708628750685509</v>
      </c>
      <c r="AE26">
        <f>T26/N26</f>
        <v>0.95320387391091121</v>
      </c>
      <c r="AF26">
        <f>U26/N26</f>
        <v>0.90769756228669662</v>
      </c>
      <c r="AG26">
        <f>V26/N26</f>
        <v>0.81499088663216024</v>
      </c>
      <c r="AH26">
        <f>W26/N26</f>
        <v>0.86188428923117344</v>
      </c>
    </row>
    <row r="27" spans="1:34" x14ac:dyDescent="0.25">
      <c r="B27" t="s">
        <v>582</v>
      </c>
      <c r="C27">
        <v>2</v>
      </c>
      <c r="D27">
        <v>-62.75</v>
      </c>
      <c r="E27">
        <v>0.12036968767643</v>
      </c>
      <c r="F27">
        <v>1.0209875106811499</v>
      </c>
      <c r="G27">
        <v>1.85551214218139</v>
      </c>
      <c r="H27">
        <v>8.7657890319824201</v>
      </c>
      <c r="I27">
        <f t="shared" si="0"/>
        <v>9.8686621534491206</v>
      </c>
      <c r="J27">
        <f t="shared" si="1"/>
        <v>81.986273653691114</v>
      </c>
      <c r="N27">
        <v>9.0383338928222603</v>
      </c>
      <c r="O27">
        <v>9.7996826171875</v>
      </c>
      <c r="P27">
        <v>8.8894271850585902</v>
      </c>
      <c r="Q27">
        <v>9.0054473876953107</v>
      </c>
      <c r="R27">
        <v>8.5347824096679599</v>
      </c>
      <c r="S27">
        <v>8.7883872985839808</v>
      </c>
      <c r="T27">
        <v>8.0667610168456996</v>
      </c>
      <c r="U27">
        <v>7.8379325866699201</v>
      </c>
      <c r="V27">
        <v>7.9769439697265598</v>
      </c>
      <c r="W27">
        <v>7.6952590942382804</v>
      </c>
      <c r="Y27">
        <f t="shared" ref="Y27:Y37" si="2">N27/N27</f>
        <v>1</v>
      </c>
      <c r="Z27">
        <f t="shared" ref="Z27:Z37" si="3">O27/N27</f>
        <v>1.0842355165668156</v>
      </c>
      <c r="AA27">
        <f t="shared" ref="AA27:AA37" si="4">P27/N27</f>
        <v>0.98352498264288246</v>
      </c>
      <c r="AB27">
        <f t="shared" ref="AB27:AB37" si="5">Q27/N27</f>
        <v>0.99636144166425777</v>
      </c>
      <c r="AC27">
        <f t="shared" ref="AC27:AC37" si="6">R27/N27</f>
        <v>0.94428713420797683</v>
      </c>
      <c r="AD27">
        <f t="shared" ref="AD27:AD37" si="7">S27/N27</f>
        <v>0.97234594371018168</v>
      </c>
      <c r="AE27">
        <f t="shared" ref="AE27:AE37" si="8">T27/N27</f>
        <v>0.89250531264969868</v>
      </c>
      <c r="AF27">
        <f t="shared" ref="AF27:AF37" si="9">U27/N27</f>
        <v>0.86718776708330814</v>
      </c>
      <c r="AG27">
        <f t="shared" ref="AG27:AG37" si="10">V27/N27</f>
        <v>0.88256796709639185</v>
      </c>
      <c r="AH27">
        <f t="shared" ref="AH27:AH37" si="11">W27/N27</f>
        <v>0.85140239180026589</v>
      </c>
    </row>
    <row r="28" spans="1:34" x14ac:dyDescent="0.25">
      <c r="B28" t="s">
        <v>583</v>
      </c>
      <c r="C28">
        <v>3</v>
      </c>
      <c r="D28">
        <v>-61.67</v>
      </c>
      <c r="E28">
        <v>0.23379832506179801</v>
      </c>
      <c r="F28">
        <v>0.95750594139099099</v>
      </c>
      <c r="G28">
        <v>2.9392688274383501</v>
      </c>
      <c r="H28">
        <v>12.398445129394499</v>
      </c>
      <c r="I28">
        <f t="shared" si="0"/>
        <v>14.774758122899938</v>
      </c>
      <c r="J28">
        <f t="shared" si="1"/>
        <v>63.194456671127334</v>
      </c>
      <c r="N28">
        <v>12.398445129394499</v>
      </c>
      <c r="O28">
        <v>12.102867126464799</v>
      </c>
      <c r="P28">
        <v>12.3666725158691</v>
      </c>
      <c r="Q28">
        <v>12.7402229309082</v>
      </c>
      <c r="R28">
        <v>12.3337631225585</v>
      </c>
      <c r="S28">
        <v>11.6181488037109</v>
      </c>
      <c r="T28">
        <v>11.605892181396401</v>
      </c>
      <c r="U28">
        <v>10.6337165832519</v>
      </c>
      <c r="V28">
        <v>11.0424461364746</v>
      </c>
      <c r="W28">
        <v>10.3345832824707</v>
      </c>
      <c r="X28">
        <v>9.9820747375488192</v>
      </c>
      <c r="Y28">
        <f t="shared" si="2"/>
        <v>1</v>
      </c>
      <c r="Z28">
        <f t="shared" si="3"/>
        <v>0.97616007492512613</v>
      </c>
      <c r="AA28">
        <f t="shared" si="4"/>
        <v>0.99743737112244246</v>
      </c>
      <c r="AB28">
        <f t="shared" si="5"/>
        <v>1.0275661825290823</v>
      </c>
      <c r="AC28">
        <f t="shared" si="6"/>
        <v>0.99478305495883113</v>
      </c>
      <c r="AD28">
        <f t="shared" si="7"/>
        <v>0.93706498536387794</v>
      </c>
      <c r="AE28">
        <f t="shared" si="8"/>
        <v>0.93607642412199765</v>
      </c>
      <c r="AF28">
        <f t="shared" si="9"/>
        <v>0.85766533402170375</v>
      </c>
      <c r="AG28">
        <f t="shared" si="10"/>
        <v>0.89063152848859517</v>
      </c>
      <c r="AH28">
        <f t="shared" si="11"/>
        <v>0.83353865542133576</v>
      </c>
    </row>
    <row r="29" spans="1:34" x14ac:dyDescent="0.25">
      <c r="B29" t="s">
        <v>584</v>
      </c>
      <c r="C29">
        <v>4</v>
      </c>
      <c r="D29">
        <v>-63.75</v>
      </c>
      <c r="E29">
        <v>0.13013090193271601</v>
      </c>
      <c r="F29">
        <v>1.78905761241912</v>
      </c>
      <c r="G29">
        <v>3.5522620677947998</v>
      </c>
      <c r="H29">
        <v>5.0762481689453098</v>
      </c>
      <c r="I29">
        <f t="shared" si="0"/>
        <v>5.4216155879382093</v>
      </c>
      <c r="J29">
        <f t="shared" si="1"/>
        <v>41.662783454320845</v>
      </c>
      <c r="N29">
        <v>5.4542503356933496</v>
      </c>
      <c r="O29">
        <v>5.5439186096191397</v>
      </c>
      <c r="P29">
        <v>5.5429382324218697</v>
      </c>
      <c r="Q29">
        <v>5.7776107788085902</v>
      </c>
      <c r="R29">
        <v>5.1850318908691397</v>
      </c>
      <c r="S29">
        <v>5.2020683288574201</v>
      </c>
      <c r="T29">
        <v>5.2353210449218697</v>
      </c>
      <c r="U29">
        <v>4.4314994812011701</v>
      </c>
      <c r="V29">
        <v>4.6853981018066397</v>
      </c>
      <c r="W29">
        <v>4.3507385253906197</v>
      </c>
      <c r="Y29">
        <f t="shared" si="2"/>
        <v>1</v>
      </c>
      <c r="Z29">
        <f t="shared" si="3"/>
        <v>1.0164400730452339</v>
      </c>
      <c r="AA29">
        <f t="shared" si="4"/>
        <v>1.0162603275005795</v>
      </c>
      <c r="AB29">
        <f t="shared" si="5"/>
        <v>1.0592859555783727</v>
      </c>
      <c r="AC29">
        <f t="shared" si="6"/>
        <v>0.95064061451994453</v>
      </c>
      <c r="AD29">
        <f t="shared" si="7"/>
        <v>0.95376413048267761</v>
      </c>
      <c r="AE29">
        <f t="shared" si="8"/>
        <v>0.95986079162176019</v>
      </c>
      <c r="AF29">
        <f t="shared" si="9"/>
        <v>0.81248553118305555</v>
      </c>
      <c r="AG29">
        <f t="shared" si="10"/>
        <v>0.85903613025327474</v>
      </c>
      <c r="AH29">
        <f t="shared" si="11"/>
        <v>0.79767855481784544</v>
      </c>
    </row>
    <row r="30" spans="1:34" x14ac:dyDescent="0.25">
      <c r="B30" t="s">
        <v>585</v>
      </c>
      <c r="C30">
        <v>5</v>
      </c>
      <c r="D30">
        <v>-65.3</v>
      </c>
      <c r="E30">
        <v>0.29387134313583402</v>
      </c>
      <c r="F30">
        <v>0.723682641983032</v>
      </c>
      <c r="G30">
        <v>2.3968844413757302</v>
      </c>
      <c r="H30">
        <v>19.608341217041001</v>
      </c>
      <c r="I30">
        <f t="shared" si="0"/>
        <v>25.808079365294141</v>
      </c>
      <c r="J30">
        <f t="shared" si="1"/>
        <v>87.82101408698793</v>
      </c>
      <c r="K30" t="s">
        <v>586</v>
      </c>
      <c r="N30">
        <v>19.8298835754394</v>
      </c>
      <c r="O30">
        <v>20.050289154052699</v>
      </c>
      <c r="P30">
        <v>20.481674194335898</v>
      </c>
      <c r="Q30">
        <v>20.821739196777301</v>
      </c>
      <c r="R30">
        <v>19.349861145019499</v>
      </c>
      <c r="S30">
        <v>18.749244689941399</v>
      </c>
      <c r="T30">
        <v>17.170433044433501</v>
      </c>
      <c r="U30">
        <v>16.942764282226499</v>
      </c>
      <c r="V30">
        <v>15.2091979980468</v>
      </c>
      <c r="W30">
        <v>16.554824829101499</v>
      </c>
      <c r="Y30">
        <f t="shared" si="2"/>
        <v>1</v>
      </c>
      <c r="Z30">
        <f t="shared" si="3"/>
        <v>1.0111148195991573</v>
      </c>
      <c r="AA30">
        <f t="shared" si="4"/>
        <v>1.0328691097159937</v>
      </c>
      <c r="AB30">
        <f t="shared" si="5"/>
        <v>1.0500182271653062</v>
      </c>
      <c r="AC30">
        <f t="shared" si="6"/>
        <v>0.97579297787635833</v>
      </c>
      <c r="AD30">
        <f t="shared" si="7"/>
        <v>0.94550452697380216</v>
      </c>
      <c r="AE30">
        <f t="shared" si="8"/>
        <v>0.86588672995035632</v>
      </c>
      <c r="AF30">
        <f t="shared" si="9"/>
        <v>0.85440563570485173</v>
      </c>
      <c r="AG30">
        <f t="shared" si="10"/>
        <v>0.76698372636359702</v>
      </c>
      <c r="AH30">
        <f t="shared" si="11"/>
        <v>0.83484226047629073</v>
      </c>
    </row>
    <row r="31" spans="1:34" x14ac:dyDescent="0.25">
      <c r="B31" t="s">
        <v>587</v>
      </c>
      <c r="C31">
        <v>6</v>
      </c>
      <c r="D31">
        <v>-65.58</v>
      </c>
      <c r="E31">
        <v>0.12869256734848</v>
      </c>
      <c r="F31">
        <v>0.88424915075302102</v>
      </c>
      <c r="G31">
        <v>1.9925245046615601</v>
      </c>
      <c r="H31">
        <v>12.83687210083</v>
      </c>
      <c r="I31">
        <f t="shared" si="0"/>
        <v>15.220293381391546</v>
      </c>
      <c r="J31">
        <f t="shared" si="1"/>
        <v>118.26862805664055</v>
      </c>
      <c r="N31">
        <v>13.154598236083901</v>
      </c>
      <c r="O31">
        <v>13.6908912658691</v>
      </c>
      <c r="P31">
        <v>13.7062377929687</v>
      </c>
      <c r="Q31">
        <v>13.2914276123046</v>
      </c>
      <c r="R31">
        <v>11.592159271240201</v>
      </c>
      <c r="S31">
        <v>11.8155097961425</v>
      </c>
      <c r="T31">
        <v>11.2536354064941</v>
      </c>
      <c r="U31">
        <v>11.3389358520507</v>
      </c>
      <c r="V31">
        <v>10.1422309875488</v>
      </c>
      <c r="W31">
        <v>10.619972229003899</v>
      </c>
      <c r="Y31">
        <f t="shared" si="2"/>
        <v>1</v>
      </c>
      <c r="Z31">
        <f t="shared" si="3"/>
        <v>1.0407684841574343</v>
      </c>
      <c r="AA31">
        <f t="shared" si="4"/>
        <v>1.0419351124971357</v>
      </c>
      <c r="AB31">
        <f t="shared" si="5"/>
        <v>1.010401638557487</v>
      </c>
      <c r="AC31">
        <f t="shared" si="6"/>
        <v>0.88122488145948608</v>
      </c>
      <c r="AD31">
        <f t="shared" si="7"/>
        <v>0.89820377514318939</v>
      </c>
      <c r="AE31">
        <f t="shared" si="8"/>
        <v>0.85549062042994672</v>
      </c>
      <c r="AF31">
        <f t="shared" si="9"/>
        <v>0.86197507886993285</v>
      </c>
      <c r="AG31">
        <f t="shared" si="10"/>
        <v>0.77100271749296101</v>
      </c>
      <c r="AH31">
        <f t="shared" si="11"/>
        <v>0.80732015059742679</v>
      </c>
    </row>
    <row r="32" spans="1:34" x14ac:dyDescent="0.25">
      <c r="B32" t="s">
        <v>588</v>
      </c>
      <c r="C32">
        <v>7</v>
      </c>
      <c r="D32">
        <v>-61.83</v>
      </c>
      <c r="E32">
        <v>0.13177262246608701</v>
      </c>
      <c r="F32">
        <v>0.96785604953765902</v>
      </c>
      <c r="G32">
        <v>1.6958597898483201</v>
      </c>
      <c r="H32">
        <v>12.134559631347599</v>
      </c>
      <c r="I32">
        <f t="shared" si="0"/>
        <v>14.394588673990429</v>
      </c>
      <c r="J32">
        <f t="shared" si="1"/>
        <v>109.23808302969017</v>
      </c>
      <c r="N32">
        <v>12.1128997802734</v>
      </c>
      <c r="O32">
        <v>12.913414001464799</v>
      </c>
      <c r="P32">
        <v>12.6767883300781</v>
      </c>
      <c r="Q32">
        <v>11.527751922607401</v>
      </c>
      <c r="R32">
        <v>11.851951599121</v>
      </c>
      <c r="S32">
        <v>11.376491546630801</v>
      </c>
      <c r="T32">
        <v>10.4973487854003</v>
      </c>
      <c r="U32">
        <v>10.310661315917899</v>
      </c>
      <c r="V32">
        <v>9.6246185302734304</v>
      </c>
      <c r="W32">
        <v>10.0568122863769</v>
      </c>
      <c r="Y32">
        <f t="shared" si="2"/>
        <v>1</v>
      </c>
      <c r="Z32">
        <f t="shared" si="3"/>
        <v>1.0660877441168204</v>
      </c>
      <c r="AA32">
        <f t="shared" si="4"/>
        <v>1.046552729737187</v>
      </c>
      <c r="AB32">
        <f t="shared" si="5"/>
        <v>0.9516921737750238</v>
      </c>
      <c r="AC32">
        <f t="shared" si="6"/>
        <v>0.97845700155322257</v>
      </c>
      <c r="AD32">
        <f t="shared" si="7"/>
        <v>0.93920462919689263</v>
      </c>
      <c r="AE32">
        <f t="shared" si="8"/>
        <v>0.86662557899602832</v>
      </c>
      <c r="AF32">
        <f t="shared" si="9"/>
        <v>0.85121329350957264</v>
      </c>
      <c r="AG32">
        <f t="shared" si="10"/>
        <v>0.79457592359079132</v>
      </c>
      <c r="AH32">
        <f t="shared" si="11"/>
        <v>0.83025637698703947</v>
      </c>
    </row>
    <row r="33" spans="2:34" x14ac:dyDescent="0.25">
      <c r="B33" t="s">
        <v>589</v>
      </c>
      <c r="C33">
        <v>8</v>
      </c>
      <c r="D33">
        <v>-65.72</v>
      </c>
      <c r="E33">
        <v>0.10255864262580899</v>
      </c>
      <c r="F33">
        <v>0.67686212062835704</v>
      </c>
      <c r="G33">
        <v>1.14694428443908</v>
      </c>
      <c r="H33">
        <v>9.4442901611328107</v>
      </c>
      <c r="I33">
        <f t="shared" si="0"/>
        <v>10.671079870570296</v>
      </c>
      <c r="J33">
        <f t="shared" si="1"/>
        <v>104.04856770096241</v>
      </c>
      <c r="N33">
        <v>9.3609848022460902</v>
      </c>
      <c r="O33">
        <v>9.8208160400390607</v>
      </c>
      <c r="P33">
        <v>9.6511421203613192</v>
      </c>
      <c r="Q33">
        <v>9.6393356323242099</v>
      </c>
      <c r="R33">
        <v>8.93670654296875</v>
      </c>
      <c r="S33">
        <v>7.9090194702148402</v>
      </c>
      <c r="T33">
        <v>7.0651283264160103</v>
      </c>
      <c r="U33">
        <v>7.2517814636230398</v>
      </c>
      <c r="V33">
        <v>7.4145240783691397</v>
      </c>
      <c r="W33">
        <v>6.6720123291015598</v>
      </c>
      <c r="Y33">
        <f t="shared" si="2"/>
        <v>1</v>
      </c>
      <c r="Z33">
        <f t="shared" si="3"/>
        <v>1.0491221006664424</v>
      </c>
      <c r="AA33">
        <f t="shared" si="4"/>
        <v>1.0309964522157549</v>
      </c>
      <c r="AB33">
        <f t="shared" si="5"/>
        <v>1.0297352079891564</v>
      </c>
      <c r="AC33">
        <f t="shared" si="6"/>
        <v>0.95467589487213589</v>
      </c>
      <c r="AD33">
        <f t="shared" si="7"/>
        <v>0.84489181825368809</v>
      </c>
      <c r="AE33">
        <f t="shared" si="8"/>
        <v>0.75474199303483447</v>
      </c>
      <c r="AF33">
        <f t="shared" si="9"/>
        <v>0.77468146961236761</v>
      </c>
      <c r="AG33">
        <f t="shared" si="10"/>
        <v>0.79206667193713276</v>
      </c>
      <c r="AH33">
        <f t="shared" si="11"/>
        <v>0.71274683914673875</v>
      </c>
    </row>
    <row r="34" spans="2:34" x14ac:dyDescent="0.25">
      <c r="B34" t="s">
        <v>590</v>
      </c>
      <c r="C34">
        <v>9</v>
      </c>
      <c r="D34">
        <v>-65.349999999999994</v>
      </c>
      <c r="E34">
        <v>0.176847904920578</v>
      </c>
      <c r="F34">
        <v>0.83768373727798495</v>
      </c>
      <c r="G34">
        <v>1.93579566478729</v>
      </c>
      <c r="H34">
        <v>18.436435699462798</v>
      </c>
      <c r="I34">
        <f t="shared" si="0"/>
        <v>23.810292488423414</v>
      </c>
      <c r="J34">
        <f t="shared" si="1"/>
        <v>134.63711938864395</v>
      </c>
      <c r="N34">
        <v>19.445705413818299</v>
      </c>
      <c r="O34">
        <v>19.2129516601562</v>
      </c>
      <c r="P34">
        <v>19.572486877441399</v>
      </c>
      <c r="Q34">
        <v>18.6016311645507</v>
      </c>
      <c r="R34">
        <v>18.2463684082031</v>
      </c>
      <c r="S34">
        <v>16.262825012206999</v>
      </c>
      <c r="T34">
        <v>17.431716918945298</v>
      </c>
      <c r="U34">
        <v>16.040542602538999</v>
      </c>
      <c r="V34">
        <v>15.0370941162109</v>
      </c>
      <c r="W34">
        <v>13.8686256408691</v>
      </c>
      <c r="Y34">
        <f t="shared" si="2"/>
        <v>1</v>
      </c>
      <c r="Z34">
        <f t="shared" si="3"/>
        <v>0.9880305831694487</v>
      </c>
      <c r="AA34">
        <f t="shared" si="4"/>
        <v>1.0065197667518406</v>
      </c>
      <c r="AB34">
        <f t="shared" si="5"/>
        <v>0.95659328209982075</v>
      </c>
      <c r="AC34">
        <f t="shared" si="6"/>
        <v>0.93832381083162253</v>
      </c>
      <c r="AD34">
        <f t="shared" si="7"/>
        <v>0.83631962256563264</v>
      </c>
      <c r="AE34">
        <f t="shared" si="8"/>
        <v>0.89643016532370989</v>
      </c>
      <c r="AF34">
        <f t="shared" si="9"/>
        <v>0.82488869707655033</v>
      </c>
      <c r="AG34">
        <f t="shared" si="10"/>
        <v>0.77328612134201113</v>
      </c>
      <c r="AH34">
        <f t="shared" si="11"/>
        <v>0.71319735364364445</v>
      </c>
    </row>
    <row r="35" spans="2:34" x14ac:dyDescent="0.25">
      <c r="B35" t="s">
        <v>591</v>
      </c>
      <c r="C35">
        <v>10</v>
      </c>
      <c r="D35">
        <v>-69.11</v>
      </c>
      <c r="E35">
        <v>0.24421674013137801</v>
      </c>
      <c r="F35">
        <v>0.61322003602981601</v>
      </c>
      <c r="G35">
        <v>2.34859991073608</v>
      </c>
      <c r="H35">
        <v>22.7327880859375</v>
      </c>
      <c r="I35">
        <f t="shared" si="0"/>
        <v>30.851270420094068</v>
      </c>
      <c r="J35">
        <f t="shared" si="1"/>
        <v>126.32741884728058</v>
      </c>
      <c r="K35" t="s">
        <v>586</v>
      </c>
      <c r="N35">
        <v>22.262283325195298</v>
      </c>
      <c r="O35">
        <v>23.482517242431602</v>
      </c>
      <c r="P35">
        <v>22.599372863769499</v>
      </c>
      <c r="Q35">
        <v>22.332160949706999</v>
      </c>
      <c r="R35">
        <v>21.404148101806602</v>
      </c>
      <c r="S35">
        <v>21.052097320556602</v>
      </c>
      <c r="T35">
        <v>19.717266082763601</v>
      </c>
      <c r="U35">
        <v>19.667228698730401</v>
      </c>
      <c r="V35">
        <v>18.8930130004882</v>
      </c>
      <c r="W35">
        <v>17.5698738098144</v>
      </c>
      <c r="Y35">
        <f t="shared" si="2"/>
        <v>1</v>
      </c>
      <c r="Z35">
        <f t="shared" si="3"/>
        <v>1.054811714477432</v>
      </c>
      <c r="AA35">
        <f t="shared" si="4"/>
        <v>1.0151417324831502</v>
      </c>
      <c r="AB35">
        <f t="shared" si="5"/>
        <v>1.0031388345701546</v>
      </c>
      <c r="AC35">
        <f t="shared" si="6"/>
        <v>0.961453404807875</v>
      </c>
      <c r="AD35">
        <f t="shared" si="7"/>
        <v>0.94563962793209666</v>
      </c>
      <c r="AE35">
        <f t="shared" si="8"/>
        <v>0.88568031386289214</v>
      </c>
      <c r="AF35">
        <f t="shared" si="9"/>
        <v>0.88343268349621851</v>
      </c>
      <c r="AG35">
        <f t="shared" si="10"/>
        <v>0.84865567132128206</v>
      </c>
      <c r="AH35">
        <f t="shared" si="11"/>
        <v>0.7892215525767623</v>
      </c>
    </row>
    <row r="36" spans="2:34" x14ac:dyDescent="0.25">
      <c r="B36" t="s">
        <v>592</v>
      </c>
      <c r="C36">
        <v>11</v>
      </c>
      <c r="D36">
        <v>-66.83</v>
      </c>
      <c r="E36">
        <v>0.26278361678123502</v>
      </c>
      <c r="F36">
        <v>0.68538516759872403</v>
      </c>
      <c r="G36">
        <v>2.5861504077911301</v>
      </c>
      <c r="H36">
        <v>21.2646675109863</v>
      </c>
      <c r="I36">
        <f t="shared" si="0"/>
        <v>28.526037618610232</v>
      </c>
      <c r="J36">
        <f t="shared" si="1"/>
        <v>108.55333360586897</v>
      </c>
      <c r="K36" t="s">
        <v>593</v>
      </c>
      <c r="N36">
        <v>21.781013488769499</v>
      </c>
      <c r="O36">
        <v>22.709434509277301</v>
      </c>
      <c r="P36">
        <v>22.174617767333899</v>
      </c>
      <c r="Q36">
        <v>21.1964797973632</v>
      </c>
      <c r="R36">
        <v>20.376163482666001</v>
      </c>
      <c r="S36">
        <v>19.832279205322202</v>
      </c>
      <c r="T36">
        <v>19.494392395019499</v>
      </c>
      <c r="U36">
        <v>19.047607421875</v>
      </c>
      <c r="V36">
        <v>18.415214538574201</v>
      </c>
      <c r="W36">
        <v>17.069606781005799</v>
      </c>
      <c r="Y36">
        <f t="shared" si="2"/>
        <v>1</v>
      </c>
      <c r="Z36">
        <f t="shared" si="3"/>
        <v>1.0426252442746295</v>
      </c>
      <c r="AA36">
        <f t="shared" si="4"/>
        <v>1.0180709808920207</v>
      </c>
      <c r="AB36">
        <f t="shared" si="5"/>
        <v>0.97316315461134573</v>
      </c>
      <c r="AC36">
        <f t="shared" si="6"/>
        <v>0.9355011644968747</v>
      </c>
      <c r="AD36">
        <f t="shared" si="7"/>
        <v>0.91053059654675461</v>
      </c>
      <c r="AE36">
        <f t="shared" si="8"/>
        <v>0.89501769075488591</v>
      </c>
      <c r="AF36">
        <f t="shared" si="9"/>
        <v>0.87450510196397102</v>
      </c>
      <c r="AG36">
        <f t="shared" si="10"/>
        <v>0.84547096709109815</v>
      </c>
      <c r="AH36">
        <f t="shared" si="11"/>
        <v>0.78369203479934724</v>
      </c>
    </row>
    <row r="37" spans="2:34" x14ac:dyDescent="0.25">
      <c r="B37" t="s">
        <v>594</v>
      </c>
      <c r="C37">
        <v>12</v>
      </c>
      <c r="D37">
        <v>-65.36</v>
      </c>
      <c r="E37">
        <v>0.213116824626923</v>
      </c>
      <c r="F37">
        <v>0.81885629892349199</v>
      </c>
      <c r="G37">
        <v>1.9338076114654501</v>
      </c>
      <c r="H37">
        <v>19.062534332275298</v>
      </c>
      <c r="I37">
        <f t="shared" si="0"/>
        <v>24.863858049566335</v>
      </c>
      <c r="J37">
        <f t="shared" si="1"/>
        <v>116.66773889434766</v>
      </c>
      <c r="N37">
        <v>18.8850898742675</v>
      </c>
      <c r="O37">
        <v>20.314163208007798</v>
      </c>
      <c r="P37">
        <v>20.0558052062988</v>
      </c>
      <c r="Q37">
        <v>20.139850616455</v>
      </c>
      <c r="R37">
        <v>18.3391914367675</v>
      </c>
      <c r="S37">
        <v>18.621868133544901</v>
      </c>
      <c r="T37">
        <v>17.068641662597599</v>
      </c>
      <c r="U37">
        <v>16.7167243957519</v>
      </c>
      <c r="V37">
        <v>15.4223175048828</v>
      </c>
      <c r="W37">
        <v>16.390922546386701</v>
      </c>
      <c r="Y37">
        <f t="shared" si="2"/>
        <v>1</v>
      </c>
      <c r="Z37">
        <f t="shared" si="3"/>
        <v>1.0756720430379063</v>
      </c>
      <c r="AA37">
        <f t="shared" si="4"/>
        <v>1.0619915149901666</v>
      </c>
      <c r="AB37">
        <f t="shared" si="5"/>
        <v>1.0664418729559353</v>
      </c>
      <c r="AC37">
        <f t="shared" si="6"/>
        <v>0.971093680721963</v>
      </c>
      <c r="AD37">
        <f t="shared" si="7"/>
        <v>0.98606192808850435</v>
      </c>
      <c r="AE37">
        <f t="shared" si="8"/>
        <v>0.90381574968594869</v>
      </c>
      <c r="AF37">
        <f t="shared" si="9"/>
        <v>0.88518108767540593</v>
      </c>
      <c r="AG37">
        <f t="shared" si="10"/>
        <v>0.81663987873825195</v>
      </c>
      <c r="AH37">
        <f t="shared" si="11"/>
        <v>0.86792928471686503</v>
      </c>
    </row>
    <row r="40" spans="2:34" x14ac:dyDescent="0.25">
      <c r="E40">
        <f>AVERAGE(E3:E14)</f>
        <v>0.20029666895667705</v>
      </c>
      <c r="I40">
        <f>AVERAGE(I3:I14)</f>
        <v>16.475157386784268</v>
      </c>
      <c r="J40">
        <f>AVERAGE(J3:J14)</f>
        <v>86.727014198877711</v>
      </c>
    </row>
    <row r="42" spans="2:34" x14ac:dyDescent="0.25">
      <c r="E42">
        <f>AVERAGE(E16:E24)</f>
        <v>0.21327981021669165</v>
      </c>
      <c r="I42">
        <f>AVERAGE(I16:I24)</f>
        <v>21.696401559134664</v>
      </c>
      <c r="J42">
        <f>AVERAGE(J16:J24)</f>
        <v>104.9347889517107</v>
      </c>
    </row>
    <row r="44" spans="2:34" x14ac:dyDescent="0.25">
      <c r="E44">
        <f>AVERAGE(E26:E37)</f>
        <v>0.1822465894122918</v>
      </c>
      <c r="I44">
        <f>AVERAGE(I26:I37)</f>
        <v>18.063747679907923</v>
      </c>
      <c r="J44">
        <f>AVERAGE(J26:J37)</f>
        <v>98.064724063943459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1F7B0-4201-415A-860D-2C89C0C349CC}">
  <dimension ref="A1:M38"/>
  <sheetViews>
    <sheetView topLeftCell="A16" workbookViewId="0">
      <selection activeCell="A29" sqref="A29:XFD29"/>
    </sheetView>
  </sheetViews>
  <sheetFormatPr defaultRowHeight="15" x14ac:dyDescent="0.25"/>
  <sheetData>
    <row r="1" spans="1:13" x14ac:dyDescent="0.25">
      <c r="A1" s="4" t="s">
        <v>2</v>
      </c>
      <c r="B1" s="5"/>
    </row>
    <row r="2" spans="1:13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/>
      <c r="G2" s="7"/>
      <c r="H2" s="7" t="s">
        <v>8</v>
      </c>
      <c r="I2" s="7"/>
      <c r="J2" s="7"/>
      <c r="K2" s="7" t="s">
        <v>9</v>
      </c>
      <c r="L2" s="7" t="s">
        <v>10</v>
      </c>
      <c r="M2" s="7"/>
    </row>
    <row r="3" spans="1:13" x14ac:dyDescent="0.25">
      <c r="A3" s="9">
        <v>42767</v>
      </c>
      <c r="B3" t="s">
        <v>86</v>
      </c>
      <c r="C3">
        <v>1</v>
      </c>
      <c r="D3">
        <v>-78.540000000000006</v>
      </c>
      <c r="E3">
        <v>0.25187700000000002</v>
      </c>
      <c r="H3">
        <v>21.170500000000001</v>
      </c>
      <c r="K3">
        <f t="shared" ref="K3:K12" si="0">H3/(1-(0.8*(H3/(ABS(D3)))))</f>
        <v>26.99081011499328</v>
      </c>
      <c r="L3" s="10">
        <v>81.502850898628111</v>
      </c>
    </row>
    <row r="4" spans="1:13" x14ac:dyDescent="0.25">
      <c r="B4" t="s">
        <v>87</v>
      </c>
      <c r="C4">
        <v>2</v>
      </c>
      <c r="D4">
        <v>-78.209999999999994</v>
      </c>
      <c r="E4">
        <v>0.15606300000000001</v>
      </c>
      <c r="H4">
        <v>13.875500000000001</v>
      </c>
      <c r="K4">
        <f t="shared" si="0"/>
        <v>16.170605323232447</v>
      </c>
      <c r="L4">
        <v>103.61588155573357</v>
      </c>
    </row>
    <row r="5" spans="1:13" x14ac:dyDescent="0.25">
      <c r="B5" t="s">
        <v>88</v>
      </c>
      <c r="C5">
        <v>3</v>
      </c>
      <c r="D5">
        <v>-81.52</v>
      </c>
      <c r="E5">
        <v>0.27826200000000001</v>
      </c>
      <c r="H5">
        <v>17.1614</v>
      </c>
      <c r="K5">
        <f t="shared" si="0"/>
        <v>20.636954823421675</v>
      </c>
      <c r="L5">
        <v>74.163755106416517</v>
      </c>
    </row>
    <row r="6" spans="1:13" x14ac:dyDescent="0.25">
      <c r="B6" t="s">
        <v>89</v>
      </c>
      <c r="C6">
        <v>4</v>
      </c>
      <c r="D6">
        <v>-82.2</v>
      </c>
      <c r="E6">
        <v>0.199853</v>
      </c>
      <c r="H6">
        <v>14.636200000000001</v>
      </c>
      <c r="K6">
        <f t="shared" si="0"/>
        <v>17.067355510714552</v>
      </c>
      <c r="L6">
        <v>85.399546220044499</v>
      </c>
    </row>
    <row r="7" spans="1:13" x14ac:dyDescent="0.25">
      <c r="B7" t="s">
        <v>90</v>
      </c>
      <c r="C7">
        <v>5</v>
      </c>
      <c r="D7">
        <v>-89.92</v>
      </c>
      <c r="E7">
        <v>0.25933899999999999</v>
      </c>
      <c r="H7">
        <v>15.9594</v>
      </c>
      <c r="K7">
        <f t="shared" si="0"/>
        <v>18.600429279784656</v>
      </c>
      <c r="L7">
        <v>71.722453158933504</v>
      </c>
    </row>
    <row r="8" spans="1:13" x14ac:dyDescent="0.25">
      <c r="B8" t="s">
        <v>91</v>
      </c>
      <c r="C8">
        <v>6</v>
      </c>
      <c r="D8">
        <v>-57.89</v>
      </c>
      <c r="E8">
        <v>0.29926799999999998</v>
      </c>
      <c r="H8">
        <v>14.0616</v>
      </c>
      <c r="K8">
        <f t="shared" si="0"/>
        <v>17.453118734016115</v>
      </c>
      <c r="L8">
        <v>58.319361689242136</v>
      </c>
    </row>
    <row r="9" spans="1:13" x14ac:dyDescent="0.25">
      <c r="B9" t="s">
        <v>92</v>
      </c>
      <c r="C9">
        <v>7</v>
      </c>
      <c r="D9">
        <v>-59.61</v>
      </c>
      <c r="E9">
        <v>0.28673599999999999</v>
      </c>
      <c r="H9">
        <v>15.5091</v>
      </c>
      <c r="K9">
        <f t="shared" si="0"/>
        <v>19.585681736137243</v>
      </c>
      <c r="L9">
        <v>68.305625160904953</v>
      </c>
    </row>
    <row r="10" spans="1:13" x14ac:dyDescent="0.25">
      <c r="B10" t="s">
        <v>93</v>
      </c>
      <c r="C10">
        <v>8</v>
      </c>
      <c r="D10">
        <v>-59.61</v>
      </c>
      <c r="E10">
        <v>0.29197400000000001</v>
      </c>
      <c r="H10">
        <v>15.2102</v>
      </c>
      <c r="K10">
        <f t="shared" si="0"/>
        <v>19.111400864721944</v>
      </c>
      <c r="L10">
        <v>65.455831220320789</v>
      </c>
    </row>
    <row r="11" spans="1:13" x14ac:dyDescent="0.25">
      <c r="B11" t="s">
        <v>94</v>
      </c>
      <c r="C11">
        <v>9</v>
      </c>
      <c r="D11">
        <v>-57.71</v>
      </c>
      <c r="E11">
        <v>0.255942</v>
      </c>
      <c r="H11">
        <v>14.2784</v>
      </c>
      <c r="K11">
        <f t="shared" si="0"/>
        <v>17.802006598789127</v>
      </c>
      <c r="L11">
        <v>69.554846796497358</v>
      </c>
    </row>
    <row r="12" spans="1:13" x14ac:dyDescent="0.25">
      <c r="B12" t="s">
        <v>95</v>
      </c>
      <c r="C12">
        <v>10</v>
      </c>
      <c r="D12">
        <v>-56.76</v>
      </c>
      <c r="E12">
        <v>0.21224399999999999</v>
      </c>
      <c r="H12">
        <v>11.327299999999999</v>
      </c>
      <c r="K12">
        <f t="shared" si="0"/>
        <v>13.479294547211044</v>
      </c>
      <c r="L12">
        <v>63.508483383327892</v>
      </c>
    </row>
    <row r="13" spans="1:13" s="11" customFormat="1" ht="20.25" thickBot="1" x14ac:dyDescent="0.35"/>
    <row r="14" spans="1:13" ht="15.75" thickTop="1" x14ac:dyDescent="0.25">
      <c r="A14" s="9">
        <v>42768</v>
      </c>
      <c r="B14" t="s">
        <v>96</v>
      </c>
      <c r="C14">
        <v>1</v>
      </c>
      <c r="D14">
        <v>-64.41</v>
      </c>
      <c r="E14">
        <v>0.31979823112487799</v>
      </c>
      <c r="H14">
        <v>21.85986328125</v>
      </c>
      <c r="K14">
        <f t="shared" ref="K14:K25" si="1">H14/(1-(0.8*(H14/(ABS(D14)))))</f>
        <v>30.007043858422289</v>
      </c>
      <c r="L14">
        <v>93.83117521592807</v>
      </c>
    </row>
    <row r="15" spans="1:13" x14ac:dyDescent="0.25">
      <c r="B15" t="s">
        <v>97</v>
      </c>
      <c r="C15">
        <v>2</v>
      </c>
      <c r="D15">
        <v>-74.67</v>
      </c>
      <c r="E15">
        <v>0.40698000000000001</v>
      </c>
      <c r="H15">
        <v>22.003900000000002</v>
      </c>
      <c r="K15">
        <f t="shared" si="1"/>
        <v>28.791327176113363</v>
      </c>
      <c r="L15">
        <v>70.743837967746231</v>
      </c>
    </row>
    <row r="16" spans="1:13" x14ac:dyDescent="0.25">
      <c r="B16" t="s">
        <v>98</v>
      </c>
      <c r="C16">
        <v>3</v>
      </c>
      <c r="D16">
        <v>-77.84</v>
      </c>
      <c r="E16">
        <v>0.277119</v>
      </c>
      <c r="H16">
        <v>22.314399999999999</v>
      </c>
      <c r="K16">
        <f t="shared" si="1"/>
        <v>28.954774249989327</v>
      </c>
      <c r="L16">
        <v>104.48498388774976</v>
      </c>
    </row>
    <row r="17" spans="2:12" x14ac:dyDescent="0.25">
      <c r="B17" t="s">
        <v>99</v>
      </c>
      <c r="C17">
        <v>4</v>
      </c>
      <c r="D17">
        <v>-90.74</v>
      </c>
      <c r="E17">
        <v>0.29315400000000003</v>
      </c>
      <c r="H17">
        <v>22.396899999999999</v>
      </c>
      <c r="K17">
        <f t="shared" si="1"/>
        <v>27.90751847506429</v>
      </c>
      <c r="L17">
        <v>95.197467798714285</v>
      </c>
    </row>
    <row r="18" spans="2:12" x14ac:dyDescent="0.25">
      <c r="B18" t="s">
        <v>100</v>
      </c>
      <c r="C18">
        <v>5</v>
      </c>
      <c r="D18">
        <v>-67.84</v>
      </c>
      <c r="E18">
        <v>0.33022200000000002</v>
      </c>
      <c r="H18">
        <v>20.7912</v>
      </c>
      <c r="K18">
        <f t="shared" si="1"/>
        <v>27.544552624014194</v>
      </c>
      <c r="L18">
        <v>83.412227604503016</v>
      </c>
    </row>
    <row r="19" spans="2:12" x14ac:dyDescent="0.25">
      <c r="B19" t="s">
        <v>101</v>
      </c>
      <c r="C19">
        <v>6</v>
      </c>
      <c r="D19">
        <v>-68.099999999999994</v>
      </c>
      <c r="E19">
        <v>0.41453299999999998</v>
      </c>
      <c r="H19">
        <v>23.3813</v>
      </c>
      <c r="K19">
        <f t="shared" si="1"/>
        <v>32.235404786237304</v>
      </c>
      <c r="L19">
        <v>77.763181185182617</v>
      </c>
    </row>
    <row r="20" spans="2:12" x14ac:dyDescent="0.25">
      <c r="B20" t="s">
        <v>102</v>
      </c>
      <c r="C20">
        <v>7</v>
      </c>
      <c r="D20">
        <v>-67.72</v>
      </c>
      <c r="E20">
        <v>0.33741900000000002</v>
      </c>
      <c r="H20">
        <v>24.067799999999998</v>
      </c>
      <c r="K20">
        <f t="shared" si="1"/>
        <v>33.629337825301818</v>
      </c>
      <c r="L20">
        <v>99.666402381910373</v>
      </c>
    </row>
    <row r="21" spans="2:12" x14ac:dyDescent="0.25">
      <c r="B21" t="s">
        <v>103</v>
      </c>
      <c r="C21">
        <v>8</v>
      </c>
      <c r="D21">
        <v>-69.75</v>
      </c>
      <c r="E21">
        <v>0.39585300000000001</v>
      </c>
      <c r="H21">
        <v>21.3687</v>
      </c>
      <c r="K21">
        <f t="shared" si="1"/>
        <v>28.306251880161902</v>
      </c>
      <c r="L21">
        <v>71.506978297908319</v>
      </c>
    </row>
    <row r="22" spans="2:12" x14ac:dyDescent="0.25">
      <c r="B22" t="s">
        <v>104</v>
      </c>
      <c r="C22">
        <v>9</v>
      </c>
      <c r="D22">
        <v>-68.84</v>
      </c>
      <c r="E22">
        <v>0.31612099999999999</v>
      </c>
      <c r="H22">
        <v>15.231299999999999</v>
      </c>
      <c r="K22">
        <f t="shared" si="1"/>
        <v>18.507164986084181</v>
      </c>
      <c r="L22">
        <v>58.544560424913819</v>
      </c>
    </row>
    <row r="23" spans="2:12" x14ac:dyDescent="0.25">
      <c r="B23" t="s">
        <v>105</v>
      </c>
      <c r="C23">
        <v>10</v>
      </c>
      <c r="D23">
        <v>-69.42</v>
      </c>
      <c r="E23">
        <v>0.364728</v>
      </c>
      <c r="H23">
        <v>10.417899999999999</v>
      </c>
      <c r="K23">
        <f t="shared" si="1"/>
        <v>11.839282430841402</v>
      </c>
      <c r="L23">
        <v>32.460580023583063</v>
      </c>
    </row>
    <row r="24" spans="2:12" x14ac:dyDescent="0.25">
      <c r="B24" t="s">
        <v>106</v>
      </c>
      <c r="C24">
        <v>11</v>
      </c>
      <c r="D24">
        <v>-70.95</v>
      </c>
      <c r="E24">
        <v>0.37543500000000002</v>
      </c>
      <c r="H24">
        <v>13.0359</v>
      </c>
      <c r="K24">
        <f t="shared" si="1"/>
        <v>15.282180168694383</v>
      </c>
      <c r="L24">
        <v>40.705262345530869</v>
      </c>
    </row>
    <row r="25" spans="2:12" x14ac:dyDescent="0.25">
      <c r="B25" t="s">
        <v>107</v>
      </c>
      <c r="C25">
        <v>12</v>
      </c>
      <c r="D25">
        <v>-71.7</v>
      </c>
      <c r="E25">
        <v>0.33082699999999998</v>
      </c>
      <c r="H25">
        <v>10.579800000000001</v>
      </c>
      <c r="K25">
        <f t="shared" si="1"/>
        <v>11.995852689347361</v>
      </c>
      <c r="L25">
        <v>36.260198500567853</v>
      </c>
    </row>
    <row r="28" spans="2:12" x14ac:dyDescent="0.25">
      <c r="E28">
        <f>AVERAGE(E3:E12)</f>
        <v>0.24915580000000004</v>
      </c>
      <c r="K28">
        <f>AVERAGE(K3:K12)</f>
        <v>18.689765753302204</v>
      </c>
      <c r="L28">
        <f>AVERAGE(L3:L12)</f>
        <v>74.154863519004934</v>
      </c>
    </row>
    <row r="30" spans="2:12" x14ac:dyDescent="0.25">
      <c r="E30">
        <f>AVERAGE(E14:E25)</f>
        <v>0.34684910259373986</v>
      </c>
      <c r="K30">
        <f>AVERAGE(K14:K25)</f>
        <v>24.583390929189321</v>
      </c>
      <c r="L30">
        <f>AVERAGE(L14:L25)</f>
        <v>72.048071302853188</v>
      </c>
    </row>
    <row r="35" spans="11:12" x14ac:dyDescent="0.25">
      <c r="K35" t="s">
        <v>32</v>
      </c>
      <c r="L35">
        <f>AVERAGE(L3:L25)</f>
        <v>73.005704128376706</v>
      </c>
    </row>
    <row r="36" spans="11:12" x14ac:dyDescent="0.25">
      <c r="K36" t="s">
        <v>33</v>
      </c>
      <c r="L36">
        <f>COUNT(L3:L25)</f>
        <v>22</v>
      </c>
    </row>
    <row r="37" spans="11:12" x14ac:dyDescent="0.25">
      <c r="K37" t="s">
        <v>34</v>
      </c>
      <c r="L37">
        <f>STDEV(L3:L25)</f>
        <v>20.207791672487435</v>
      </c>
    </row>
    <row r="38" spans="11:12" x14ac:dyDescent="0.25">
      <c r="K38" t="s">
        <v>35</v>
      </c>
      <c r="L38">
        <f>L37/SQRT(L36)</f>
        <v>4.3083156605392601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27FA-500B-484E-A5AA-4871E93D944A}">
  <dimension ref="A1:M12"/>
  <sheetViews>
    <sheetView workbookViewId="0">
      <selection activeCell="K16" sqref="K16"/>
    </sheetView>
  </sheetViews>
  <sheetFormatPr defaultRowHeight="15" x14ac:dyDescent="0.25"/>
  <sheetData>
    <row r="1" spans="1:13" x14ac:dyDescent="0.25">
      <c r="A1" s="4" t="s">
        <v>108</v>
      </c>
      <c r="B1" s="5"/>
    </row>
    <row r="2" spans="1:13" ht="45" x14ac:dyDescent="0.25">
      <c r="A2" s="7" t="s">
        <v>3</v>
      </c>
      <c r="B2" s="8" t="s">
        <v>109</v>
      </c>
      <c r="C2" s="7" t="s">
        <v>5</v>
      </c>
      <c r="D2" s="7" t="s">
        <v>6</v>
      </c>
      <c r="E2" s="7" t="s">
        <v>7</v>
      </c>
      <c r="F2" s="7" t="s">
        <v>36</v>
      </c>
      <c r="G2" s="12" t="s">
        <v>553</v>
      </c>
      <c r="H2" s="7" t="s">
        <v>8</v>
      </c>
      <c r="I2" s="7" t="s">
        <v>36</v>
      </c>
      <c r="J2" s="12" t="s">
        <v>553</v>
      </c>
      <c r="K2" s="7" t="s">
        <v>9</v>
      </c>
      <c r="L2" s="7" t="s">
        <v>10</v>
      </c>
      <c r="M2" s="12" t="s">
        <v>110</v>
      </c>
    </row>
    <row r="3" spans="1:13" x14ac:dyDescent="0.25">
      <c r="A3" s="9">
        <v>43620</v>
      </c>
      <c r="B3" s="6" t="s">
        <v>111</v>
      </c>
      <c r="C3">
        <v>1</v>
      </c>
      <c r="D3">
        <v>-65.489999999999995</v>
      </c>
      <c r="E3">
        <v>0.35587999999999997</v>
      </c>
      <c r="H3">
        <v>19.1572</v>
      </c>
      <c r="K3">
        <f>H3/(1-(0.8*(H3/ABS(D3))))</f>
        <v>25.009947883193284</v>
      </c>
      <c r="L3">
        <f>K3/E3</f>
        <v>70.276351250964609</v>
      </c>
    </row>
    <row r="4" spans="1:13" x14ac:dyDescent="0.25">
      <c r="A4" s="9">
        <v>43620</v>
      </c>
      <c r="B4" s="6" t="s">
        <v>112</v>
      </c>
      <c r="C4">
        <v>2</v>
      </c>
      <c r="D4">
        <v>-55.99</v>
      </c>
      <c r="E4">
        <v>0.32080399999999998</v>
      </c>
      <c r="H4">
        <v>20.932400000000001</v>
      </c>
      <c r="K4">
        <f t="shared" ref="K4:K9" si="0">H4/(1-(0.8*(H4/ABS(D4))))</f>
        <v>29.864506340828989</v>
      </c>
      <c r="L4">
        <f t="shared" ref="L4:L9" si="1">K4/E4</f>
        <v>93.092686939155968</v>
      </c>
    </row>
    <row r="5" spans="1:13" x14ac:dyDescent="0.25">
      <c r="A5" s="9">
        <v>43620</v>
      </c>
      <c r="B5" s="6" t="s">
        <v>113</v>
      </c>
      <c r="C5">
        <v>3</v>
      </c>
      <c r="D5">
        <v>-70.31</v>
      </c>
      <c r="E5">
        <v>0.30004500000000001</v>
      </c>
      <c r="H5">
        <v>20.334599999999998</v>
      </c>
      <c r="K5">
        <f t="shared" si="0"/>
        <v>26.455668927610805</v>
      </c>
      <c r="L5">
        <f t="shared" si="1"/>
        <v>88.172337241449796</v>
      </c>
    </row>
    <row r="6" spans="1:13" x14ac:dyDescent="0.25">
      <c r="A6" s="9">
        <v>43620</v>
      </c>
      <c r="B6" s="6" t="s">
        <v>114</v>
      </c>
      <c r="C6">
        <v>4</v>
      </c>
      <c r="D6">
        <v>-81</v>
      </c>
      <c r="E6">
        <v>0.20617099999999999</v>
      </c>
      <c r="H6">
        <v>13.105499999999999</v>
      </c>
      <c r="K6">
        <f t="shared" si="0"/>
        <v>15.054051869373584</v>
      </c>
      <c r="L6">
        <f t="shared" si="1"/>
        <v>73.017310239430302</v>
      </c>
    </row>
    <row r="7" spans="1:13" x14ac:dyDescent="0.25">
      <c r="A7" s="9">
        <v>43620</v>
      </c>
      <c r="B7" s="6" t="s">
        <v>115</v>
      </c>
      <c r="C7">
        <v>5</v>
      </c>
      <c r="D7">
        <v>-67.8</v>
      </c>
      <c r="E7">
        <v>0.33729399999999998</v>
      </c>
      <c r="H7">
        <v>23.620699999999999</v>
      </c>
      <c r="K7">
        <f t="shared" si="0"/>
        <v>32.747869270546204</v>
      </c>
      <c r="L7">
        <f t="shared" si="1"/>
        <v>97.089984614449719</v>
      </c>
    </row>
    <row r="8" spans="1:13" x14ac:dyDescent="0.25">
      <c r="A8" s="9">
        <v>43620</v>
      </c>
      <c r="B8" s="6" t="s">
        <v>116</v>
      </c>
      <c r="C8">
        <v>6</v>
      </c>
      <c r="D8">
        <v>-64.98</v>
      </c>
      <c r="E8">
        <v>0.64695499999999995</v>
      </c>
      <c r="H8">
        <v>24.794699999999999</v>
      </c>
      <c r="K8">
        <f t="shared" si="0"/>
        <v>35.689151174103273</v>
      </c>
      <c r="L8">
        <f t="shared" si="1"/>
        <v>55.164812350323089</v>
      </c>
    </row>
    <row r="9" spans="1:13" x14ac:dyDescent="0.25">
      <c r="A9" s="9">
        <v>43620</v>
      </c>
      <c r="B9" s="6" t="s">
        <v>111</v>
      </c>
      <c r="C9">
        <v>7</v>
      </c>
      <c r="D9">
        <v>-63.85</v>
      </c>
      <c r="E9">
        <v>0.22544400000000001</v>
      </c>
      <c r="H9">
        <v>14.6579</v>
      </c>
      <c r="K9">
        <f t="shared" si="0"/>
        <v>17.955503429535291</v>
      </c>
      <c r="L9">
        <f t="shared" si="1"/>
        <v>79.645071190784805</v>
      </c>
    </row>
    <row r="10" spans="1:13" x14ac:dyDescent="0.25">
      <c r="A10" s="9"/>
      <c r="B10" s="6"/>
    </row>
    <row r="11" spans="1:13" x14ac:dyDescent="0.25">
      <c r="A11" s="9"/>
      <c r="B11" s="6"/>
    </row>
    <row r="12" spans="1:13" x14ac:dyDescent="0.25">
      <c r="A12" s="9"/>
      <c r="B12" s="6"/>
      <c r="E12">
        <f>AVERAGE(E3:E9)</f>
        <v>0.34179900000000002</v>
      </c>
      <c r="K12">
        <f>AVERAGE(K3:K9)</f>
        <v>26.110956985027347</v>
      </c>
      <c r="L12">
        <f>AVERAGE(L3:L9)</f>
        <v>79.494079118079753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AB30F-C22D-4C28-A90F-01A21BB5FC04}">
  <dimension ref="A1:AJ57"/>
  <sheetViews>
    <sheetView topLeftCell="D19" workbookViewId="0">
      <selection activeCell="M37" sqref="M37:M46"/>
    </sheetView>
  </sheetViews>
  <sheetFormatPr defaultRowHeight="15" x14ac:dyDescent="0.25"/>
  <cols>
    <col min="1" max="1" width="9.7109375" bestFit="1" customWidth="1"/>
  </cols>
  <sheetData>
    <row r="1" spans="1:36" x14ac:dyDescent="0.25">
      <c r="A1" s="4" t="s">
        <v>2</v>
      </c>
      <c r="B1" s="5"/>
      <c r="P1" t="s">
        <v>470</v>
      </c>
      <c r="AA1" t="s">
        <v>471</v>
      </c>
    </row>
    <row r="2" spans="1:36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596</v>
      </c>
      <c r="G2" s="7" t="s">
        <v>553</v>
      </c>
      <c r="H2" s="7" t="s">
        <v>8</v>
      </c>
      <c r="I2" s="7" t="s">
        <v>596</v>
      </c>
      <c r="J2" s="7" t="s">
        <v>553</v>
      </c>
      <c r="K2" s="7" t="s">
        <v>9</v>
      </c>
      <c r="L2" s="7" t="s">
        <v>10</v>
      </c>
      <c r="M2" s="7" t="s">
        <v>11</v>
      </c>
      <c r="N2" s="12" t="s">
        <v>13</v>
      </c>
      <c r="P2" t="s">
        <v>395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AA2" t="s">
        <v>395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</row>
    <row r="3" spans="1:36" x14ac:dyDescent="0.25">
      <c r="A3" s="9">
        <v>42486</v>
      </c>
      <c r="B3" t="s">
        <v>117</v>
      </c>
      <c r="C3">
        <v>1</v>
      </c>
      <c r="D3">
        <v>-64.67</v>
      </c>
      <c r="E3">
        <v>0.33116400000000001</v>
      </c>
      <c r="H3">
        <v>26.3596</v>
      </c>
      <c r="K3">
        <f>H3/(1-(0.8*(H3/(ABS(D3)))))</f>
        <v>39.113918946949134</v>
      </c>
      <c r="L3">
        <f>K3/E3</f>
        <v>118.11041945063211</v>
      </c>
      <c r="N3">
        <v>635</v>
      </c>
    </row>
    <row r="4" spans="1:36" x14ac:dyDescent="0.25">
      <c r="B4" t="s">
        <v>118</v>
      </c>
      <c r="C4">
        <v>2</v>
      </c>
      <c r="D4">
        <v>-66.66</v>
      </c>
      <c r="E4">
        <v>0.30989899999999998</v>
      </c>
      <c r="H4">
        <v>23.317699999999999</v>
      </c>
      <c r="K4">
        <f>H4/(1-(0.8*(H4/(ABS(D4)))))</f>
        <v>32.378516488827188</v>
      </c>
      <c r="L4">
        <f t="shared" ref="L4:L34" si="0">K4/E4</f>
        <v>104.48086792415332</v>
      </c>
      <c r="N4">
        <v>403</v>
      </c>
    </row>
    <row r="5" spans="1:36" x14ac:dyDescent="0.25">
      <c r="B5" t="s">
        <v>119</v>
      </c>
      <c r="C5">
        <v>3</v>
      </c>
      <c r="D5">
        <v>-71.89</v>
      </c>
      <c r="E5">
        <v>0.28363699999999997</v>
      </c>
      <c r="H5">
        <v>19.224299999999999</v>
      </c>
      <c r="K5">
        <f>H5/(1-(0.8*(H5/(ABS(D5)))))</f>
        <v>24.45622423490406</v>
      </c>
      <c r="L5">
        <f t="shared" si="0"/>
        <v>86.223674044303323</v>
      </c>
      <c r="N5">
        <v>436</v>
      </c>
    </row>
    <row r="6" spans="1:36" x14ac:dyDescent="0.25">
      <c r="B6" t="s">
        <v>120</v>
      </c>
      <c r="C6">
        <v>4</v>
      </c>
      <c r="D6">
        <v>-72.569999999999993</v>
      </c>
      <c r="E6">
        <v>0.37691000000000002</v>
      </c>
      <c r="H6">
        <v>30.9575</v>
      </c>
      <c r="K6">
        <f t="shared" ref="K6:K28" si="1">H6/(1-(0.8*(H6/(ABS(D6)))))</f>
        <v>46.995769705463978</v>
      </c>
      <c r="L6">
        <f t="shared" si="0"/>
        <v>124.68698019544182</v>
      </c>
      <c r="N6">
        <v>779</v>
      </c>
    </row>
    <row r="7" spans="1:36" x14ac:dyDescent="0.25">
      <c r="B7" t="s">
        <v>121</v>
      </c>
      <c r="C7">
        <v>5</v>
      </c>
      <c r="D7">
        <v>-73.55</v>
      </c>
      <c r="E7">
        <v>0.251336</v>
      </c>
      <c r="H7">
        <v>23.803699999999999</v>
      </c>
      <c r="K7">
        <f t="shared" si="1"/>
        <v>32.119926802115835</v>
      </c>
      <c r="L7">
        <f t="shared" si="0"/>
        <v>127.79676131599068</v>
      </c>
      <c r="N7">
        <v>619</v>
      </c>
    </row>
    <row r="8" spans="1:36" x14ac:dyDescent="0.25">
      <c r="B8" t="s">
        <v>122</v>
      </c>
      <c r="C8">
        <v>6</v>
      </c>
      <c r="D8">
        <v>-77.040000000000006</v>
      </c>
      <c r="E8">
        <v>0.185201</v>
      </c>
      <c r="H8">
        <v>14.902799999999999</v>
      </c>
      <c r="K8">
        <f t="shared" si="1"/>
        <v>17.631314590673881</v>
      </c>
      <c r="L8">
        <f t="shared" si="0"/>
        <v>95.200968626918211</v>
      </c>
      <c r="N8">
        <v>433</v>
      </c>
    </row>
    <row r="9" spans="1:36" x14ac:dyDescent="0.25">
      <c r="B9" t="s">
        <v>123</v>
      </c>
      <c r="C9">
        <v>7</v>
      </c>
      <c r="D9">
        <v>-62.17</v>
      </c>
      <c r="E9">
        <v>0.22830800000000001</v>
      </c>
      <c r="H9">
        <v>18.404499999999999</v>
      </c>
      <c r="K9">
        <f t="shared" si="1"/>
        <v>24.115797299689753</v>
      </c>
      <c r="L9">
        <f t="shared" si="0"/>
        <v>105.62834985935557</v>
      </c>
      <c r="N9">
        <v>699</v>
      </c>
    </row>
    <row r="10" spans="1:36" x14ac:dyDescent="0.25">
      <c r="B10" t="s">
        <v>124</v>
      </c>
      <c r="C10">
        <v>8</v>
      </c>
      <c r="D10">
        <v>-56.33</v>
      </c>
      <c r="E10">
        <v>0.23089699999999999</v>
      </c>
      <c r="H10">
        <v>23.333100000000002</v>
      </c>
      <c r="K10">
        <f t="shared" si="1"/>
        <v>34.897256629226376</v>
      </c>
      <c r="L10">
        <f t="shared" si="0"/>
        <v>151.13776545050987</v>
      </c>
      <c r="N10">
        <v>641</v>
      </c>
    </row>
    <row r="11" spans="1:36" x14ac:dyDescent="0.25">
      <c r="B11" t="s">
        <v>125</v>
      </c>
      <c r="C11">
        <v>9</v>
      </c>
      <c r="D11">
        <v>-57.59</v>
      </c>
      <c r="E11">
        <v>0.230189</v>
      </c>
      <c r="H11">
        <v>19.203700000000001</v>
      </c>
      <c r="K11">
        <f t="shared" si="1"/>
        <v>26.190352982354437</v>
      </c>
      <c r="L11">
        <f t="shared" si="0"/>
        <v>113.77760441356639</v>
      </c>
      <c r="N11">
        <v>513</v>
      </c>
    </row>
    <row r="12" spans="1:36" x14ac:dyDescent="0.25">
      <c r="B12" t="s">
        <v>126</v>
      </c>
      <c r="C12">
        <v>10</v>
      </c>
      <c r="D12">
        <v>-60.91</v>
      </c>
      <c r="E12">
        <v>0.205514</v>
      </c>
      <c r="H12">
        <v>16.324100000000001</v>
      </c>
      <c r="K12">
        <f t="shared" si="1"/>
        <v>20.779226122407355</v>
      </c>
      <c r="L12">
        <f t="shared" si="0"/>
        <v>101.10856740858216</v>
      </c>
      <c r="N12">
        <v>647</v>
      </c>
    </row>
    <row r="13" spans="1:36" x14ac:dyDescent="0.25">
      <c r="B13" t="s">
        <v>127</v>
      </c>
      <c r="C13">
        <v>11</v>
      </c>
      <c r="D13">
        <v>-56.03</v>
      </c>
      <c r="E13">
        <v>0.241982</v>
      </c>
      <c r="H13">
        <v>21.991700000000002</v>
      </c>
      <c r="K13">
        <f t="shared" si="1"/>
        <v>32.057821677441112</v>
      </c>
      <c r="L13">
        <f t="shared" si="0"/>
        <v>132.48019140862175</v>
      </c>
      <c r="N13">
        <v>1223</v>
      </c>
    </row>
    <row r="14" spans="1:36" x14ac:dyDescent="0.25">
      <c r="B14" t="s">
        <v>128</v>
      </c>
      <c r="C14">
        <v>12</v>
      </c>
      <c r="D14">
        <v>-57.17</v>
      </c>
      <c r="E14">
        <v>0.20573900000000001</v>
      </c>
      <c r="H14">
        <v>14.6831</v>
      </c>
      <c r="K14">
        <f t="shared" si="1"/>
        <v>18.480135995625172</v>
      </c>
      <c r="L14">
        <f t="shared" si="0"/>
        <v>89.823203163353426</v>
      </c>
      <c r="N14">
        <v>514</v>
      </c>
    </row>
    <row r="15" spans="1:36" x14ac:dyDescent="0.25">
      <c r="B15" t="s">
        <v>129</v>
      </c>
      <c r="C15">
        <v>13</v>
      </c>
      <c r="D15">
        <v>-58.68</v>
      </c>
      <c r="E15">
        <v>0.281916</v>
      </c>
      <c r="H15">
        <v>20.313099999999999</v>
      </c>
      <c r="K15">
        <f t="shared" si="1"/>
        <v>28.093004775920161</v>
      </c>
      <c r="L15">
        <f t="shared" si="0"/>
        <v>99.65026737013919</v>
      </c>
      <c r="N15">
        <v>670</v>
      </c>
    </row>
    <row r="16" spans="1:36" x14ac:dyDescent="0.25">
      <c r="B16" t="s">
        <v>130</v>
      </c>
      <c r="C16">
        <v>14</v>
      </c>
      <c r="D16">
        <v>-63.6</v>
      </c>
      <c r="E16">
        <v>0.234072</v>
      </c>
      <c r="H16">
        <v>19.369499999999999</v>
      </c>
      <c r="K16">
        <f t="shared" si="1"/>
        <v>25.608888168234088</v>
      </c>
      <c r="L16">
        <f t="shared" si="0"/>
        <v>109.4060296329082</v>
      </c>
      <c r="N16">
        <v>599</v>
      </c>
    </row>
    <row r="17" spans="1:14" x14ac:dyDescent="0.25">
      <c r="B17" t="s">
        <v>131</v>
      </c>
      <c r="C17">
        <v>15</v>
      </c>
      <c r="D17">
        <v>-61.57</v>
      </c>
      <c r="E17">
        <v>0.25648700000000002</v>
      </c>
      <c r="H17">
        <v>17.6495</v>
      </c>
      <c r="K17">
        <f t="shared" si="1"/>
        <v>22.901381547890008</v>
      </c>
      <c r="L17">
        <f t="shared" si="0"/>
        <v>89.288663939653887</v>
      </c>
      <c r="N17">
        <v>812</v>
      </c>
    </row>
    <row r="18" spans="1:14" s="11" customFormat="1" ht="20.25" thickBot="1" x14ac:dyDescent="0.35"/>
    <row r="19" spans="1:14" ht="15.75" thickTop="1" x14ac:dyDescent="0.25">
      <c r="A19" s="9">
        <v>42482</v>
      </c>
      <c r="B19" t="s">
        <v>132</v>
      </c>
      <c r="C19">
        <v>1</v>
      </c>
      <c r="D19">
        <v>-65.569999999999993</v>
      </c>
      <c r="E19">
        <v>0.334623</v>
      </c>
      <c r="H19">
        <v>32.917299999999997</v>
      </c>
      <c r="K19">
        <f t="shared" si="1"/>
        <v>55.010158002210211</v>
      </c>
      <c r="L19">
        <f t="shared" si="0"/>
        <v>164.39443194941833</v>
      </c>
      <c r="N19">
        <v>747</v>
      </c>
    </row>
    <row r="20" spans="1:14" x14ac:dyDescent="0.25">
      <c r="B20" t="s">
        <v>133</v>
      </c>
      <c r="C20">
        <v>2</v>
      </c>
      <c r="D20">
        <v>-69.19</v>
      </c>
      <c r="E20">
        <v>0.28105599999999997</v>
      </c>
      <c r="H20">
        <v>32.241799999999998</v>
      </c>
      <c r="K20">
        <f t="shared" si="1"/>
        <v>51.4052298615374</v>
      </c>
      <c r="L20">
        <f t="shared" si="0"/>
        <v>182.90031118900649</v>
      </c>
      <c r="N20">
        <v>754</v>
      </c>
    </row>
    <row r="21" spans="1:14" x14ac:dyDescent="0.25">
      <c r="B21" t="s">
        <v>134</v>
      </c>
      <c r="C21">
        <v>3</v>
      </c>
      <c r="D21">
        <v>-68.709999999999994</v>
      </c>
      <c r="E21">
        <v>0.28499799999999997</v>
      </c>
      <c r="H21">
        <v>17.063300000000002</v>
      </c>
      <c r="K21">
        <f t="shared" si="1"/>
        <v>21.293733581356562</v>
      </c>
      <c r="L21">
        <f t="shared" si="0"/>
        <v>74.715378989875589</v>
      </c>
      <c r="N21">
        <v>295</v>
      </c>
    </row>
    <row r="22" spans="1:14" x14ac:dyDescent="0.25">
      <c r="B22" t="s">
        <v>135</v>
      </c>
      <c r="C22">
        <v>4</v>
      </c>
      <c r="D22">
        <v>-80.08</v>
      </c>
      <c r="E22">
        <v>0.44659199999999999</v>
      </c>
      <c r="H22">
        <v>35.486499999999999</v>
      </c>
      <c r="K22">
        <f t="shared" si="1"/>
        <v>54.976106386436278</v>
      </c>
      <c r="L22">
        <f t="shared" si="0"/>
        <v>123.10141334022168</v>
      </c>
      <c r="N22">
        <v>902</v>
      </c>
    </row>
    <row r="23" spans="1:14" x14ac:dyDescent="0.25">
      <c r="B23" t="s">
        <v>136</v>
      </c>
      <c r="C23">
        <v>5</v>
      </c>
      <c r="D23">
        <v>-69.290000000000006</v>
      </c>
      <c r="E23">
        <v>0.28196399999999999</v>
      </c>
      <c r="H23">
        <v>29.27</v>
      </c>
      <c r="K23">
        <f t="shared" si="1"/>
        <v>44.210626934647074</v>
      </c>
      <c r="L23">
        <f t="shared" si="0"/>
        <v>156.79528923780012</v>
      </c>
      <c r="N23">
        <v>415</v>
      </c>
    </row>
    <row r="24" spans="1:14" x14ac:dyDescent="0.25">
      <c r="B24" t="s">
        <v>137</v>
      </c>
      <c r="C24">
        <v>6</v>
      </c>
      <c r="D24">
        <v>-68.680000000000007</v>
      </c>
      <c r="E24">
        <v>0.38040099999999999</v>
      </c>
      <c r="H24">
        <v>26.908100000000001</v>
      </c>
      <c r="K24">
        <f t="shared" si="1"/>
        <v>39.1921601611078</v>
      </c>
      <c r="L24">
        <f t="shared" si="0"/>
        <v>103.02854135795594</v>
      </c>
      <c r="N24">
        <v>507</v>
      </c>
    </row>
    <row r="25" spans="1:14" x14ac:dyDescent="0.25">
      <c r="B25" t="s">
        <v>138</v>
      </c>
      <c r="C25">
        <v>7</v>
      </c>
      <c r="D25">
        <v>-70.430000000000007</v>
      </c>
      <c r="E25">
        <v>0.29944199999999999</v>
      </c>
      <c r="H25">
        <v>25.3505</v>
      </c>
      <c r="K25">
        <f t="shared" si="1"/>
        <v>35.602192539920559</v>
      </c>
      <c r="L25">
        <f t="shared" si="0"/>
        <v>118.89512005637339</v>
      </c>
      <c r="N25">
        <v>638</v>
      </c>
    </row>
    <row r="26" spans="1:14" x14ac:dyDescent="0.25">
      <c r="B26" t="s">
        <v>139</v>
      </c>
      <c r="C26">
        <v>8</v>
      </c>
      <c r="D26">
        <v>-69.91</v>
      </c>
      <c r="E26">
        <v>0.25883400000000001</v>
      </c>
      <c r="H26">
        <v>27.1995</v>
      </c>
      <c r="K26">
        <f t="shared" si="1"/>
        <v>39.491199346215197</v>
      </c>
      <c r="L26">
        <f t="shared" si="0"/>
        <v>152.57346154761427</v>
      </c>
      <c r="N26">
        <v>548</v>
      </c>
    </row>
    <row r="27" spans="1:14" x14ac:dyDescent="0.25">
      <c r="B27" t="s">
        <v>140</v>
      </c>
      <c r="C27">
        <v>9</v>
      </c>
      <c r="D27">
        <v>-60.06</v>
      </c>
      <c r="E27">
        <v>0.25407600000000002</v>
      </c>
      <c r="H27">
        <v>24.145</v>
      </c>
      <c r="K27">
        <f t="shared" si="1"/>
        <v>35.591711663066953</v>
      </c>
      <c r="L27">
        <f t="shared" si="0"/>
        <v>140.08293448836943</v>
      </c>
    </row>
    <row r="28" spans="1:14" x14ac:dyDescent="0.25">
      <c r="B28" t="s">
        <v>141</v>
      </c>
      <c r="C28">
        <v>10</v>
      </c>
      <c r="D28">
        <v>-69.430000000000007</v>
      </c>
      <c r="E28">
        <v>0.25607600000000003</v>
      </c>
      <c r="H28">
        <v>28.113800000000001</v>
      </c>
      <c r="K28">
        <f t="shared" si="1"/>
        <v>41.584669408951541</v>
      </c>
      <c r="L28">
        <f t="shared" si="0"/>
        <v>162.39190478198478</v>
      </c>
    </row>
    <row r="29" spans="1:14" s="11" customFormat="1" ht="20.25" thickBot="1" x14ac:dyDescent="0.35"/>
    <row r="30" spans="1:14" ht="15.75" thickTop="1" x14ac:dyDescent="0.25">
      <c r="A30" s="9">
        <v>42814</v>
      </c>
      <c r="B30" t="s">
        <v>142</v>
      </c>
      <c r="C30">
        <v>1</v>
      </c>
      <c r="D30">
        <v>-67.8</v>
      </c>
      <c r="E30">
        <v>0.233292</v>
      </c>
      <c r="H30">
        <v>23.469899999999999</v>
      </c>
      <c r="K30">
        <f>H30/(1-(0.8*(H30/(ABS(D30)))))</f>
        <v>32.458726813435355</v>
      </c>
      <c r="L30">
        <f t="shared" si="0"/>
        <v>139.13347570184729</v>
      </c>
      <c r="M30">
        <v>0.70920099999999997</v>
      </c>
    </row>
    <row r="31" spans="1:14" x14ac:dyDescent="0.25">
      <c r="B31" t="s">
        <v>143</v>
      </c>
      <c r="C31">
        <v>2</v>
      </c>
      <c r="D31">
        <v>-68.099999999999994</v>
      </c>
      <c r="E31">
        <v>0.171152</v>
      </c>
      <c r="H31">
        <v>16.956600000000002</v>
      </c>
      <c r="K31">
        <f>H31/(1-(0.8*(H31/(ABS(D31)))))</f>
        <v>21.174482238104464</v>
      </c>
      <c r="L31">
        <f t="shared" si="0"/>
        <v>123.71741047784697</v>
      </c>
      <c r="M31">
        <v>0.73546</v>
      </c>
    </row>
    <row r="32" spans="1:14" x14ac:dyDescent="0.25">
      <c r="B32" t="s">
        <v>144</v>
      </c>
      <c r="C32">
        <v>3</v>
      </c>
      <c r="D32">
        <v>-64.3</v>
      </c>
      <c r="E32">
        <v>0.28969699999999998</v>
      </c>
      <c r="H32">
        <v>21.7315</v>
      </c>
      <c r="K32">
        <f>H32/(1-(0.8*(H32/(ABS(D32)))))</f>
        <v>29.784533878434956</v>
      </c>
      <c r="L32">
        <f t="shared" si="0"/>
        <v>102.81271079243126</v>
      </c>
      <c r="M32">
        <v>0.65677700000000006</v>
      </c>
    </row>
    <row r="33" spans="1:36" x14ac:dyDescent="0.25">
      <c r="B33" t="s">
        <v>145</v>
      </c>
      <c r="C33">
        <v>4</v>
      </c>
      <c r="D33">
        <v>-62.9</v>
      </c>
      <c r="E33">
        <v>0.26474999999999999</v>
      </c>
      <c r="H33">
        <v>21.0123</v>
      </c>
      <c r="K33">
        <f>H33/(1-(0.8*(H33/(ABS(D33)))))</f>
        <v>28.675831674266263</v>
      </c>
      <c r="L33">
        <f t="shared" si="0"/>
        <v>108.3128675137536</v>
      </c>
      <c r="M33">
        <v>0.89683999999999997</v>
      </c>
    </row>
    <row r="34" spans="1:36" x14ac:dyDescent="0.25">
      <c r="B34" t="s">
        <v>146</v>
      </c>
      <c r="C34">
        <v>5</v>
      </c>
      <c r="D34">
        <v>-72.599999999999994</v>
      </c>
      <c r="E34">
        <v>0.159446</v>
      </c>
      <c r="H34">
        <v>15.7195</v>
      </c>
      <c r="K34">
        <f>H34/(1-(0.8*(H34/(ABS(D34)))))</f>
        <v>19.012863102338383</v>
      </c>
      <c r="L34">
        <f t="shared" si="0"/>
        <v>119.24327422662458</v>
      </c>
      <c r="M34">
        <v>0.72225200000000001</v>
      </c>
    </row>
    <row r="36" spans="1:36" x14ac:dyDescent="0.25">
      <c r="A36" s="9">
        <v>44389</v>
      </c>
      <c r="B36" t="s">
        <v>598</v>
      </c>
      <c r="C36">
        <v>1</v>
      </c>
      <c r="D36">
        <v>-72.760000000000005</v>
      </c>
      <c r="E36">
        <v>0.13604429364204401</v>
      </c>
      <c r="F36">
        <v>1.5685966014862001</v>
      </c>
      <c r="G36">
        <v>3.3103103637695299</v>
      </c>
      <c r="H36">
        <v>10.9770812988281</v>
      </c>
      <c r="K36">
        <v>12.483795268982547</v>
      </c>
      <c r="L36">
        <v>91.762726203199406</v>
      </c>
      <c r="P36">
        <v>10.7162628173828</v>
      </c>
      <c r="Q36">
        <v>11.6453094482421</v>
      </c>
      <c r="R36">
        <v>11.749504089355399</v>
      </c>
      <c r="S36">
        <v>11.1207122802734</v>
      </c>
      <c r="T36">
        <v>11.606960296630801</v>
      </c>
      <c r="U36">
        <v>9.7397651672363192</v>
      </c>
      <c r="V36">
        <v>10.6326904296875</v>
      </c>
      <c r="W36">
        <v>9.9865379333496005</v>
      </c>
      <c r="X36">
        <v>8.9173240661621005</v>
      </c>
      <c r="Y36">
        <v>9.2057647705078107</v>
      </c>
      <c r="AA36">
        <v>1</v>
      </c>
      <c r="AB36">
        <v>1.0866950210806978</v>
      </c>
      <c r="AC36">
        <v>1.0964180600625606</v>
      </c>
      <c r="AD36">
        <v>1.0377416520836484</v>
      </c>
      <c r="AE36">
        <v>1.0831164272868714</v>
      </c>
      <c r="AF36">
        <v>0.9088770342061312</v>
      </c>
      <c r="AG36">
        <v>0.99220134956379213</v>
      </c>
      <c r="AH36">
        <v>0.93190490971819806</v>
      </c>
      <c r="AI36">
        <v>0.83213002686882132</v>
      </c>
      <c r="AJ36">
        <v>0.85904619244455094</v>
      </c>
    </row>
    <row r="37" spans="1:36" x14ac:dyDescent="0.25">
      <c r="A37" t="s">
        <v>597</v>
      </c>
      <c r="B37" t="s">
        <v>599</v>
      </c>
      <c r="C37">
        <v>2</v>
      </c>
      <c r="D37">
        <v>-67.45</v>
      </c>
      <c r="E37">
        <v>0.39456108212471003</v>
      </c>
      <c r="F37">
        <v>1.3033039569854701</v>
      </c>
      <c r="G37">
        <v>5.1179337501525799</v>
      </c>
      <c r="H37">
        <v>16.3662605285644</v>
      </c>
      <c r="K37">
        <v>20.308413703964934</v>
      </c>
      <c r="L37">
        <v>51.470899244811974</v>
      </c>
      <c r="P37">
        <v>14.2192115783691</v>
      </c>
      <c r="Q37">
        <v>16.819412231445298</v>
      </c>
      <c r="R37">
        <v>16.014263153076101</v>
      </c>
      <c r="S37">
        <v>16.349113464355401</v>
      </c>
      <c r="T37">
        <v>15.218486785888601</v>
      </c>
      <c r="U37">
        <v>16.5767822265625</v>
      </c>
      <c r="V37">
        <v>15.1247024536132</v>
      </c>
      <c r="W37">
        <v>14.2581176757812</v>
      </c>
      <c r="X37">
        <v>14.124698638916</v>
      </c>
      <c r="Y37">
        <v>14.717300415039</v>
      </c>
      <c r="AA37">
        <v>1</v>
      </c>
      <c r="AB37">
        <v>1.1828653184281848</v>
      </c>
      <c r="AC37">
        <v>1.1262412873466003</v>
      </c>
      <c r="AD37">
        <v>1.1497904348808201</v>
      </c>
      <c r="AE37">
        <v>1.0702764145544921</v>
      </c>
      <c r="AF37">
        <v>1.1658017841003112</v>
      </c>
      <c r="AG37">
        <v>1.0636808074943882</v>
      </c>
      <c r="AH37">
        <v>1.0027361641816546</v>
      </c>
      <c r="AI37">
        <v>0.99335315190070894</v>
      </c>
      <c r="AJ37">
        <v>1.0350292865342559</v>
      </c>
    </row>
    <row r="38" spans="1:36" x14ac:dyDescent="0.25">
      <c r="B38" t="s">
        <v>600</v>
      </c>
      <c r="C38">
        <v>3</v>
      </c>
      <c r="D38">
        <v>-69.11</v>
      </c>
      <c r="E38">
        <v>0.33658924698829701</v>
      </c>
      <c r="F38">
        <v>1.0969588756561199</v>
      </c>
      <c r="G38">
        <v>3.7066788673400799</v>
      </c>
      <c r="H38">
        <v>21.138801574706999</v>
      </c>
      <c r="K38">
        <v>27.987197677603337</v>
      </c>
      <c r="L38">
        <v>83.149411123571738</v>
      </c>
      <c r="P38">
        <v>19.019496917724599</v>
      </c>
      <c r="Q38">
        <v>20.9144287109375</v>
      </c>
      <c r="R38">
        <v>20.977390289306602</v>
      </c>
      <c r="S38">
        <v>20.265853881835898</v>
      </c>
      <c r="T38">
        <v>21.0101928710937</v>
      </c>
      <c r="U38">
        <v>20.731838226318299</v>
      </c>
      <c r="V38">
        <v>18.736213684081999</v>
      </c>
      <c r="W38">
        <v>18.9364509582519</v>
      </c>
      <c r="X38">
        <v>18.445537567138601</v>
      </c>
      <c r="Y38">
        <v>19.259605407714801</v>
      </c>
      <c r="AA38">
        <v>1</v>
      </c>
      <c r="AB38">
        <v>1.0996310155526239</v>
      </c>
      <c r="AC38">
        <v>1.1029413858868899</v>
      </c>
      <c r="AD38">
        <v>1.0655304906067098</v>
      </c>
      <c r="AE38">
        <v>1.1046660677714317</v>
      </c>
      <c r="AF38">
        <v>1.0900308412993795</v>
      </c>
      <c r="AG38">
        <v>0.98510564002465262</v>
      </c>
      <c r="AH38">
        <v>0.99563364058303205</v>
      </c>
      <c r="AI38">
        <v>0.9698225797943627</v>
      </c>
      <c r="AJ38">
        <v>1.0126243344410673</v>
      </c>
    </row>
    <row r="39" spans="1:36" x14ac:dyDescent="0.25">
      <c r="B39" t="s">
        <v>601</v>
      </c>
      <c r="C39">
        <v>4</v>
      </c>
      <c r="D39">
        <v>-44.97</v>
      </c>
      <c r="E39">
        <v>0.308391124010086</v>
      </c>
      <c r="F39">
        <v>1.1465469598770099</v>
      </c>
      <c r="G39">
        <v>2.9903609752654998</v>
      </c>
      <c r="H39">
        <v>10.823925018310501</v>
      </c>
      <c r="K39">
        <v>13.405133017223688</v>
      </c>
      <c r="L39">
        <v>43.467959916982792</v>
      </c>
      <c r="P39">
        <v>5.4542503356933496</v>
      </c>
      <c r="Q39">
        <v>5.5439186096191397</v>
      </c>
      <c r="R39">
        <v>5.5429382324218697</v>
      </c>
      <c r="S39">
        <v>5.7776107788085902</v>
      </c>
      <c r="T39">
        <v>5.1850318908691397</v>
      </c>
      <c r="U39">
        <v>5.2020683288574201</v>
      </c>
      <c r="V39">
        <v>5.2353210449218697</v>
      </c>
      <c r="W39">
        <v>4.4314994812011701</v>
      </c>
      <c r="X39">
        <v>4.6853981018066397</v>
      </c>
      <c r="Y39">
        <v>4.3507385253906197</v>
      </c>
      <c r="AA39">
        <v>1</v>
      </c>
      <c r="AB39">
        <v>1.0164400730452339</v>
      </c>
      <c r="AC39">
        <v>1.0162603275005795</v>
      </c>
      <c r="AD39">
        <v>1.0592859555783727</v>
      </c>
      <c r="AE39">
        <v>0.95064061451994453</v>
      </c>
      <c r="AF39">
        <v>0.95376413048267761</v>
      </c>
      <c r="AG39">
        <v>0.95986079162176019</v>
      </c>
      <c r="AH39">
        <v>0.81248553118305555</v>
      </c>
      <c r="AI39">
        <v>0.85903613025327474</v>
      </c>
      <c r="AJ39">
        <v>0.79767855481784544</v>
      </c>
    </row>
    <row r="40" spans="1:36" x14ac:dyDescent="0.25">
      <c r="B40" t="s">
        <v>602</v>
      </c>
      <c r="C40">
        <v>5</v>
      </c>
      <c r="D40">
        <v>-64.63</v>
      </c>
      <c r="E40">
        <v>0.15826956927776301</v>
      </c>
      <c r="F40">
        <v>1.5198296308517401</v>
      </c>
      <c r="G40">
        <v>2.6735668182372998</v>
      </c>
      <c r="H40">
        <v>11.5790481567382</v>
      </c>
      <c r="K40">
        <v>13.516302244139316</v>
      </c>
      <c r="L40">
        <v>85.400511960819287</v>
      </c>
      <c r="P40">
        <v>11.0785865783691</v>
      </c>
      <c r="Q40">
        <v>11.6720924377441</v>
      </c>
      <c r="R40">
        <v>11.7902297973632</v>
      </c>
      <c r="S40">
        <v>12.2233428955078</v>
      </c>
      <c r="T40">
        <v>11.0356483459472</v>
      </c>
      <c r="U40">
        <v>10.517925262451101</v>
      </c>
      <c r="V40">
        <v>9.7898826599121005</v>
      </c>
      <c r="W40">
        <v>8.9815254211425692</v>
      </c>
      <c r="X40">
        <v>10.295635223388601</v>
      </c>
      <c r="Y40">
        <v>9.0708732604980398</v>
      </c>
      <c r="AA40">
        <v>1</v>
      </c>
      <c r="AB40">
        <v>1.0535723447369918</v>
      </c>
      <c r="AC40">
        <v>1.0642359216096735</v>
      </c>
      <c r="AD40">
        <v>1.1033305385159722</v>
      </c>
      <c r="AE40">
        <v>0.99612421385001071</v>
      </c>
      <c r="AF40">
        <v>0.94939234242997317</v>
      </c>
      <c r="AG40">
        <v>0.88367614322090604</v>
      </c>
      <c r="AH40">
        <v>0.8107104058453598</v>
      </c>
      <c r="AI40">
        <v>0.92932750496266292</v>
      </c>
      <c r="AJ40">
        <v>0.81877531906542</v>
      </c>
    </row>
    <row r="41" spans="1:36" x14ac:dyDescent="0.25">
      <c r="B41" t="s">
        <v>603</v>
      </c>
      <c r="C41">
        <v>6</v>
      </c>
      <c r="D41">
        <v>-49.62</v>
      </c>
      <c r="E41">
        <v>0.28291079401969899</v>
      </c>
      <c r="F41">
        <v>0.86737209558486905</v>
      </c>
      <c r="G41">
        <v>3.2466564178466801</v>
      </c>
      <c r="H41">
        <v>15.0203437805175</v>
      </c>
      <c r="K41">
        <v>19.820096516320291</v>
      </c>
      <c r="L41">
        <v>70.057760026435133</v>
      </c>
      <c r="P41">
        <v>12.0560035705566</v>
      </c>
      <c r="Q41">
        <v>14.8070259094238</v>
      </c>
      <c r="R41">
        <v>14.29296875</v>
      </c>
      <c r="S41">
        <v>13.7433471679687</v>
      </c>
      <c r="T41">
        <v>12.4357299804687</v>
      </c>
      <c r="U41">
        <v>12.5981903076171</v>
      </c>
      <c r="V41">
        <v>12.6693878173828</v>
      </c>
      <c r="W41">
        <v>11.8702735900878</v>
      </c>
      <c r="X41">
        <v>11.8759155273437</v>
      </c>
      <c r="Y41">
        <v>12.079597473144499</v>
      </c>
      <c r="AA41">
        <v>1</v>
      </c>
      <c r="AB41">
        <v>1.2281869213763172</v>
      </c>
      <c r="AC41">
        <v>1.1855478199182488</v>
      </c>
      <c r="AD41">
        <v>1.1399587838156389</v>
      </c>
      <c r="AE41">
        <v>1.0314968727148917</v>
      </c>
      <c r="AF41">
        <v>1.0449723437694263</v>
      </c>
      <c r="AG41">
        <v>1.0508779085238675</v>
      </c>
      <c r="AH41">
        <v>0.98459439901607249</v>
      </c>
      <c r="AI41">
        <v>0.98506237642026628</v>
      </c>
      <c r="AJ41">
        <v>1.001957025182501</v>
      </c>
    </row>
    <row r="42" spans="1:36" x14ac:dyDescent="0.25">
      <c r="B42" t="s">
        <v>604</v>
      </c>
      <c r="C42">
        <v>7</v>
      </c>
      <c r="D42">
        <v>-55.83</v>
      </c>
      <c r="E42">
        <v>0.24575293064117401</v>
      </c>
      <c r="F42">
        <v>1.0908612012863099</v>
      </c>
      <c r="G42">
        <v>3.0629580020904501</v>
      </c>
      <c r="H42">
        <v>14.2585945129394</v>
      </c>
      <c r="K42">
        <v>17.919886153773209</v>
      </c>
      <c r="L42">
        <v>72.918300941599725</v>
      </c>
      <c r="P42">
        <v>14.016471862792899</v>
      </c>
      <c r="Q42">
        <v>14.060771942138601</v>
      </c>
      <c r="R42">
        <v>14.4997024536132</v>
      </c>
      <c r="S42">
        <v>14.1680450439453</v>
      </c>
      <c r="T42">
        <v>13.7964210510253</v>
      </c>
      <c r="U42">
        <v>13.299846649169901</v>
      </c>
      <c r="V42">
        <v>13.7536315917968</v>
      </c>
      <c r="W42">
        <v>12.604301452636699</v>
      </c>
      <c r="X42">
        <v>12.0447235107421</v>
      </c>
      <c r="Y42">
        <v>11.8580818176269</v>
      </c>
      <c r="AA42">
        <v>1</v>
      </c>
      <c r="AB42">
        <v>1.0031605727731883</v>
      </c>
      <c r="AC42">
        <v>1.0344759077427359</v>
      </c>
      <c r="AD42">
        <v>1.0108139325385268</v>
      </c>
      <c r="AE42">
        <v>0.98430055623685653</v>
      </c>
      <c r="AF42">
        <v>0.94887263923203813</v>
      </c>
      <c r="AG42">
        <v>0.98124775809711318</v>
      </c>
      <c r="AH42">
        <v>0.89924922448531108</v>
      </c>
      <c r="AI42">
        <v>0.85932634322301482</v>
      </c>
      <c r="AJ42">
        <v>0.84601046067124042</v>
      </c>
    </row>
    <row r="43" spans="1:36" x14ac:dyDescent="0.25">
      <c r="B43" t="s">
        <v>605</v>
      </c>
      <c r="C43">
        <v>8</v>
      </c>
      <c r="D43">
        <v>-53.38</v>
      </c>
      <c r="E43">
        <v>0.16685992479324299</v>
      </c>
      <c r="F43">
        <v>0.96855264902114901</v>
      </c>
      <c r="G43">
        <v>2.9173493385314901</v>
      </c>
      <c r="H43">
        <v>13.4983215332031</v>
      </c>
      <c r="K43">
        <v>16.921504971699921</v>
      </c>
      <c r="L43">
        <v>101.41143832269759</v>
      </c>
      <c r="P43">
        <v>12.3068389892578</v>
      </c>
      <c r="Q43">
        <v>14.0916213989257</v>
      </c>
      <c r="R43">
        <v>13.6647644042968</v>
      </c>
      <c r="S43">
        <v>13.8793830871582</v>
      </c>
      <c r="T43">
        <v>13.4172248840332</v>
      </c>
      <c r="U43">
        <v>12.857830047607401</v>
      </c>
      <c r="V43">
        <v>12.4775619506835</v>
      </c>
      <c r="W43">
        <v>11.52490234375</v>
      </c>
      <c r="X43">
        <v>10.41353225708</v>
      </c>
      <c r="Y43">
        <v>10.2649688720703</v>
      </c>
      <c r="AA43">
        <v>1</v>
      </c>
      <c r="AB43">
        <v>1.1450236255813351</v>
      </c>
      <c r="AC43">
        <v>1.1103390900152577</v>
      </c>
      <c r="AD43">
        <v>1.1277780670790458</v>
      </c>
      <c r="AE43">
        <v>1.0902251094488695</v>
      </c>
      <c r="AF43">
        <v>1.0447711275682197</v>
      </c>
      <c r="AG43">
        <v>1.0138722024050788</v>
      </c>
      <c r="AH43">
        <v>0.93646324241421175</v>
      </c>
      <c r="AI43">
        <v>0.84615816182933734</v>
      </c>
      <c r="AJ43">
        <v>0.83408654984681485</v>
      </c>
    </row>
    <row r="44" spans="1:36" x14ac:dyDescent="0.25">
      <c r="B44" t="s">
        <v>606</v>
      </c>
      <c r="C44">
        <v>9</v>
      </c>
      <c r="D44">
        <v>-65.25</v>
      </c>
      <c r="E44">
        <v>0.31718903779983498</v>
      </c>
      <c r="F44">
        <v>0.93144887685775801</v>
      </c>
      <c r="G44">
        <v>3.8667693138122501</v>
      </c>
      <c r="H44">
        <v>22.547622680663999</v>
      </c>
      <c r="K44">
        <v>31.162319713729254</v>
      </c>
      <c r="L44">
        <v>98.245260712302795</v>
      </c>
      <c r="P44">
        <v>22.7050170898437</v>
      </c>
      <c r="Q44">
        <v>24.7276077270507</v>
      </c>
      <c r="R44">
        <v>25.3514595031738</v>
      </c>
      <c r="S44">
        <v>24.622062683105401</v>
      </c>
      <c r="T44">
        <v>24.494491577148398</v>
      </c>
      <c r="U44">
        <v>23.300563812255799</v>
      </c>
      <c r="V44">
        <v>23.394447326660099</v>
      </c>
      <c r="W44">
        <v>22.548377990722599</v>
      </c>
      <c r="X44">
        <v>21.424327850341701</v>
      </c>
      <c r="Y44">
        <v>21.598098754882798</v>
      </c>
      <c r="AA44">
        <v>1</v>
      </c>
      <c r="AB44">
        <v>1.0890812206484415</v>
      </c>
      <c r="AC44">
        <v>1.116557604993563</v>
      </c>
      <c r="AD44">
        <v>1.0844326866470064</v>
      </c>
      <c r="AE44">
        <v>1.0788140559517641</v>
      </c>
      <c r="AF44">
        <v>1.0262297412089814</v>
      </c>
      <c r="AG44">
        <v>1.0303646649587765</v>
      </c>
      <c r="AH44">
        <v>0.99310112392775218</v>
      </c>
      <c r="AI44">
        <v>0.94359443842590762</v>
      </c>
      <c r="AJ44">
        <v>0.95124785281681012</v>
      </c>
    </row>
    <row r="45" spans="1:36" x14ac:dyDescent="0.25">
      <c r="B45" t="s">
        <v>607</v>
      </c>
      <c r="C45">
        <v>10</v>
      </c>
      <c r="D45">
        <v>-71.989999999999995</v>
      </c>
      <c r="E45">
        <v>0.20952282845973999</v>
      </c>
      <c r="F45">
        <v>1.1500672101974401</v>
      </c>
      <c r="G45">
        <v>2.5026991367339999</v>
      </c>
      <c r="H45">
        <v>15.9063186645507</v>
      </c>
      <c r="K45">
        <v>19.32163911297291</v>
      </c>
      <c r="L45">
        <v>92.217345742283072</v>
      </c>
      <c r="P45">
        <v>15.3856887817382</v>
      </c>
      <c r="Q45">
        <v>16.748649597167901</v>
      </c>
      <c r="R45">
        <v>16.902351379394499</v>
      </c>
      <c r="S45">
        <v>15.709617614746</v>
      </c>
      <c r="T45">
        <v>14.920768737792899</v>
      </c>
      <c r="U45">
        <v>14.494762420654199</v>
      </c>
      <c r="V45">
        <v>14.259880065917899</v>
      </c>
      <c r="W45">
        <v>12.852970123291</v>
      </c>
      <c r="X45">
        <v>12.4793891906738</v>
      </c>
      <c r="Y45">
        <v>12.926174163818301</v>
      </c>
      <c r="AA45">
        <v>1</v>
      </c>
      <c r="AB45">
        <v>1.0885862722666955</v>
      </c>
      <c r="AC45">
        <v>1.0985761911066652</v>
      </c>
      <c r="AD45">
        <v>1.021053905197425</v>
      </c>
      <c r="AE45">
        <v>0.96978230545667021</v>
      </c>
      <c r="AF45">
        <v>0.94209382669032848</v>
      </c>
      <c r="AG45">
        <v>0.92682753877378821</v>
      </c>
      <c r="AH45">
        <v>0.83538477253918131</v>
      </c>
      <c r="AI45">
        <v>0.81110370602881388</v>
      </c>
      <c r="AJ45">
        <v>0.84014270320876494</v>
      </c>
    </row>
    <row r="46" spans="1:36" x14ac:dyDescent="0.25">
      <c r="B46" t="s">
        <v>608</v>
      </c>
      <c r="C46">
        <v>11</v>
      </c>
      <c r="D46">
        <v>-64.319999999999993</v>
      </c>
      <c r="E46">
        <v>0.19459901750087699</v>
      </c>
      <c r="F46">
        <v>1.3829760551452599</v>
      </c>
      <c r="G46">
        <v>3.64785480499267</v>
      </c>
      <c r="H46">
        <v>15.381816864013601</v>
      </c>
      <c r="K46">
        <v>19.020803354042101</v>
      </c>
      <c r="L46">
        <v>97.743573417354895</v>
      </c>
      <c r="P46">
        <v>16.181552886962798</v>
      </c>
      <c r="Q46">
        <v>16.3403205871582</v>
      </c>
      <c r="R46">
        <v>16.001323699951101</v>
      </c>
      <c r="S46">
        <v>16.1128616333007</v>
      </c>
      <c r="T46">
        <v>15.6933250427246</v>
      </c>
      <c r="U46">
        <v>14.617839813232401</v>
      </c>
      <c r="V46">
        <v>13.8188781738281</v>
      </c>
      <c r="W46">
        <v>13.5849075317382</v>
      </c>
      <c r="X46">
        <v>14.3287010192871</v>
      </c>
      <c r="Y46">
        <v>12.3652229309082</v>
      </c>
      <c r="AA46">
        <v>1</v>
      </c>
      <c r="AB46">
        <v>1.0098116479490247</v>
      </c>
      <c r="AC46">
        <v>0.98886205864970445</v>
      </c>
      <c r="AD46">
        <v>0.99575496529029406</v>
      </c>
      <c r="AE46">
        <v>0.96982812171064525</v>
      </c>
      <c r="AF46">
        <v>0.9033644617019263</v>
      </c>
      <c r="AG46">
        <v>0.85398961832406917</v>
      </c>
      <c r="AH46">
        <v>0.83953052136815176</v>
      </c>
      <c r="AI46">
        <v>0.88549604104013346</v>
      </c>
      <c r="AJ46">
        <v>0.76415551815614979</v>
      </c>
    </row>
    <row r="47" spans="1:36" x14ac:dyDescent="0.25">
      <c r="B47" t="s">
        <v>609</v>
      </c>
      <c r="C47">
        <v>12</v>
      </c>
      <c r="D47">
        <v>-55.55</v>
      </c>
      <c r="E47">
        <v>0.20936635136604301</v>
      </c>
      <c r="F47">
        <v>1.10543096065521</v>
      </c>
      <c r="G47">
        <v>3.5843906402587802</v>
      </c>
      <c r="H47">
        <v>14.5838356018066</v>
      </c>
      <c r="K47">
        <v>18.461211219168757</v>
      </c>
      <c r="L47">
        <v>88.176591408866514</v>
      </c>
      <c r="P47">
        <v>14.4858093261718</v>
      </c>
      <c r="Q47">
        <v>14.714046478271401</v>
      </c>
      <c r="R47">
        <v>15.6013793945312</v>
      </c>
      <c r="S47">
        <v>15.909019470214799</v>
      </c>
      <c r="T47">
        <v>14.6602020263671</v>
      </c>
      <c r="U47">
        <v>14.2150154113769</v>
      </c>
      <c r="V47">
        <v>13.3087158203125</v>
      </c>
      <c r="W47">
        <v>14.196571350097599</v>
      </c>
      <c r="X47">
        <v>13.7586555480957</v>
      </c>
      <c r="Y47">
        <v>13.4123878479003</v>
      </c>
      <c r="AA47">
        <v>1</v>
      </c>
      <c r="AB47">
        <v>1.0157559130429281</v>
      </c>
      <c r="AC47">
        <v>1.077011235150243</v>
      </c>
      <c r="AD47">
        <v>1.098248576382381</v>
      </c>
      <c r="AE47">
        <v>1.0120388648137333</v>
      </c>
      <c r="AF47">
        <v>0.9813062626535024</v>
      </c>
      <c r="AG47">
        <v>0.9187416126116873</v>
      </c>
      <c r="AH47">
        <v>0.98003301233907392</v>
      </c>
      <c r="AI47">
        <v>0.94980233677642456</v>
      </c>
      <c r="AJ47">
        <v>0.92589841174202614</v>
      </c>
    </row>
    <row r="49" spans="1:12" x14ac:dyDescent="0.25">
      <c r="A49" t="s">
        <v>920</v>
      </c>
    </row>
    <row r="51" spans="1:12" x14ac:dyDescent="0.25">
      <c r="E51">
        <f>AVERAGE(E3:E17)</f>
        <v>0.25688339999999998</v>
      </c>
      <c r="K51">
        <f>AVERAGE(K3:K17)</f>
        <v>28.387969064514838</v>
      </c>
      <c r="L51">
        <f>AVERAGE(L3:L17)</f>
        <v>109.92002094694197</v>
      </c>
    </row>
    <row r="53" spans="1:12" x14ac:dyDescent="0.25">
      <c r="E53">
        <f>AVERAGE(E19:E28)</f>
        <v>0.30780619999999997</v>
      </c>
      <c r="K53">
        <f>AVERAGE(K19:K28)</f>
        <v>41.835778788544957</v>
      </c>
      <c r="L53">
        <f>AVERAGE(L19:L28)</f>
        <v>137.88787869386198</v>
      </c>
    </row>
    <row r="55" spans="1:12" x14ac:dyDescent="0.25">
      <c r="E55">
        <f>AVERAGE(E30:E34)</f>
        <v>0.22366739999999999</v>
      </c>
      <c r="K55">
        <f>AVERAGE(K30:K34)</f>
        <v>26.221287541315881</v>
      </c>
      <c r="L55">
        <f>AVERAGE(L30:L34)</f>
        <v>118.64394774250074</v>
      </c>
    </row>
    <row r="57" spans="1:12" x14ac:dyDescent="0.25">
      <c r="E57">
        <f>AVERAGE(E36:E47)</f>
        <v>0.24667135005195928</v>
      </c>
      <c r="K57">
        <f>AVERAGE(K36:K47)</f>
        <v>19.194025246135023</v>
      </c>
      <c r="L57">
        <f>AVERAGE(L36:L47)</f>
        <v>81.335148251743746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E5DD-407B-45FA-9ED4-8DB01792EC84}">
  <dimension ref="A1:AJ59"/>
  <sheetViews>
    <sheetView topLeftCell="A19" workbookViewId="0">
      <selection activeCell="M46" sqref="M29:M46"/>
    </sheetView>
  </sheetViews>
  <sheetFormatPr defaultRowHeight="15" x14ac:dyDescent="0.25"/>
  <cols>
    <col min="1" max="1" width="9.7109375" bestFit="1" customWidth="1"/>
  </cols>
  <sheetData>
    <row r="1" spans="1:36" x14ac:dyDescent="0.25">
      <c r="A1" s="4" t="s">
        <v>2</v>
      </c>
      <c r="B1" s="5"/>
      <c r="O1" s="6"/>
      <c r="P1" t="s">
        <v>470</v>
      </c>
      <c r="AA1" t="s">
        <v>471</v>
      </c>
    </row>
    <row r="2" spans="1:36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596</v>
      </c>
      <c r="G2" s="7" t="s">
        <v>553</v>
      </c>
      <c r="H2" s="7" t="s">
        <v>8</v>
      </c>
      <c r="I2" s="7" t="s">
        <v>596</v>
      </c>
      <c r="J2" s="7" t="s">
        <v>553</v>
      </c>
      <c r="K2" s="7" t="s">
        <v>9</v>
      </c>
      <c r="L2" s="7" t="s">
        <v>10</v>
      </c>
      <c r="M2" s="7" t="s">
        <v>11</v>
      </c>
      <c r="N2" s="12" t="s">
        <v>12</v>
      </c>
      <c r="O2" s="8"/>
      <c r="P2" t="s">
        <v>395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AA2" t="s">
        <v>395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</row>
    <row r="3" spans="1:36" x14ac:dyDescent="0.25">
      <c r="A3" s="9">
        <v>42500</v>
      </c>
      <c r="B3" t="s">
        <v>147</v>
      </c>
      <c r="C3">
        <v>1</v>
      </c>
      <c r="D3">
        <v>-91.27</v>
      </c>
      <c r="E3">
        <v>0.25824900000000001</v>
      </c>
      <c r="H3">
        <v>27.318999999999999</v>
      </c>
      <c r="K3">
        <f>H3/(1-(0.8*(H3/(ABS(D3)))))</f>
        <v>35.920367558503372</v>
      </c>
      <c r="L3">
        <f t="shared" ref="L3:L19" si="0">K3/E3</f>
        <v>139.09199090220434</v>
      </c>
    </row>
    <row r="4" spans="1:36" x14ac:dyDescent="0.25">
      <c r="B4" t="s">
        <v>148</v>
      </c>
      <c r="C4">
        <v>2</v>
      </c>
      <c r="D4">
        <v>-75.62</v>
      </c>
      <c r="E4">
        <v>0.27509699999999998</v>
      </c>
      <c r="H4">
        <v>27.691600000000001</v>
      </c>
      <c r="K4">
        <f>H4/(1-(0.8*(H4/(ABS(D4)))))</f>
        <v>39.165274997231926</v>
      </c>
      <c r="L4">
        <f t="shared" si="0"/>
        <v>142.36896439158525</v>
      </c>
    </row>
    <row r="5" spans="1:36" x14ac:dyDescent="0.25">
      <c r="B5" t="s">
        <v>149</v>
      </c>
      <c r="C5">
        <v>3</v>
      </c>
      <c r="D5">
        <v>-67.72</v>
      </c>
      <c r="E5">
        <v>0.33996799999999999</v>
      </c>
      <c r="H5">
        <v>24.883400000000002</v>
      </c>
      <c r="K5">
        <f>H5/(1-(0.8*(H5/(ABS(D5)))))</f>
        <v>35.243427098078193</v>
      </c>
      <c r="L5">
        <f t="shared" si="0"/>
        <v>103.66689540803308</v>
      </c>
    </row>
    <row r="6" spans="1:36" x14ac:dyDescent="0.25">
      <c r="B6" t="s">
        <v>150</v>
      </c>
      <c r="C6">
        <v>4</v>
      </c>
      <c r="D6">
        <v>-88.21</v>
      </c>
      <c r="E6">
        <v>0.20158699999999999</v>
      </c>
      <c r="H6">
        <v>19.167999999999999</v>
      </c>
      <c r="K6">
        <f t="shared" ref="K6:K19" si="1">H6/(1-(0.8*(H6/(ABS(D6)))))</f>
        <v>23.201308531250515</v>
      </c>
      <c r="L6">
        <f t="shared" si="0"/>
        <v>115.09327749929567</v>
      </c>
    </row>
    <row r="7" spans="1:36" x14ac:dyDescent="0.25">
      <c r="B7" t="s">
        <v>151</v>
      </c>
      <c r="C7">
        <v>5</v>
      </c>
      <c r="D7">
        <v>-74.34</v>
      </c>
      <c r="E7">
        <v>0.208976</v>
      </c>
      <c r="H7">
        <v>24.063500000000001</v>
      </c>
      <c r="K7">
        <f t="shared" si="1"/>
        <v>32.472437247228136</v>
      </c>
      <c r="L7">
        <f t="shared" si="0"/>
        <v>155.38835678368872</v>
      </c>
    </row>
    <row r="8" spans="1:36" x14ac:dyDescent="0.25">
      <c r="B8" t="s">
        <v>152</v>
      </c>
      <c r="C8">
        <v>6</v>
      </c>
      <c r="D8">
        <v>-74.7</v>
      </c>
      <c r="E8">
        <v>0.23543600000000001</v>
      </c>
      <c r="H8">
        <v>20.389099999999999</v>
      </c>
      <c r="K8">
        <f t="shared" si="1"/>
        <v>26.084931644331299</v>
      </c>
      <c r="L8">
        <f t="shared" si="0"/>
        <v>110.79415061558682</v>
      </c>
    </row>
    <row r="9" spans="1:36" x14ac:dyDescent="0.25">
      <c r="B9" t="s">
        <v>153</v>
      </c>
      <c r="C9">
        <v>7</v>
      </c>
      <c r="D9">
        <v>-75.58</v>
      </c>
      <c r="E9">
        <v>0.203294</v>
      </c>
      <c r="H9">
        <v>16.751300000000001</v>
      </c>
      <c r="K9">
        <f t="shared" si="1"/>
        <v>20.361602284759993</v>
      </c>
      <c r="L9">
        <f t="shared" si="0"/>
        <v>100.15840253406392</v>
      </c>
    </row>
    <row r="10" spans="1:36" x14ac:dyDescent="0.25">
      <c r="B10" t="s">
        <v>154</v>
      </c>
      <c r="C10">
        <v>8</v>
      </c>
      <c r="D10">
        <v>-73.58</v>
      </c>
      <c r="E10">
        <v>0.200874</v>
      </c>
      <c r="H10">
        <v>21.319500000000001</v>
      </c>
      <c r="K10">
        <f t="shared" si="1"/>
        <v>27.752418601524301</v>
      </c>
      <c r="L10">
        <f t="shared" si="0"/>
        <v>138.15834105720154</v>
      </c>
    </row>
    <row r="11" spans="1:36" x14ac:dyDescent="0.25">
      <c r="B11" t="s">
        <v>155</v>
      </c>
      <c r="C11">
        <v>9</v>
      </c>
      <c r="D11">
        <v>-63.23</v>
      </c>
      <c r="E11">
        <v>0.21795500000000001</v>
      </c>
      <c r="H11">
        <v>17.909400000000002</v>
      </c>
      <c r="K11">
        <f t="shared" si="1"/>
        <v>23.156522164111109</v>
      </c>
      <c r="L11">
        <f t="shared" si="0"/>
        <v>106.24450994063503</v>
      </c>
    </row>
    <row r="12" spans="1:36" x14ac:dyDescent="0.25">
      <c r="B12" t="s">
        <v>156</v>
      </c>
      <c r="C12">
        <v>10</v>
      </c>
      <c r="D12">
        <v>-65.44</v>
      </c>
      <c r="E12">
        <v>0.16909299999999999</v>
      </c>
      <c r="H12">
        <v>15.78</v>
      </c>
      <c r="K12">
        <f t="shared" si="1"/>
        <v>19.551711602544682</v>
      </c>
      <c r="L12">
        <f t="shared" si="0"/>
        <v>115.62697215464084</v>
      </c>
    </row>
    <row r="13" spans="1:36" s="11" customFormat="1" ht="20.25" thickBot="1" x14ac:dyDescent="0.35"/>
    <row r="14" spans="1:36" ht="15.75" thickTop="1" x14ac:dyDescent="0.25">
      <c r="A14" s="9">
        <v>42514</v>
      </c>
      <c r="B14" t="s">
        <v>157</v>
      </c>
      <c r="C14">
        <v>1</v>
      </c>
      <c r="D14">
        <v>-71.37</v>
      </c>
      <c r="E14">
        <v>0.174484</v>
      </c>
      <c r="H14">
        <v>29.127099999999999</v>
      </c>
      <c r="K14">
        <f t="shared" si="1"/>
        <v>43.246802197372396</v>
      </c>
      <c r="L14">
        <f t="shared" si="0"/>
        <v>247.85540334570732</v>
      </c>
    </row>
    <row r="15" spans="1:36" x14ac:dyDescent="0.25">
      <c r="B15" t="s">
        <v>158</v>
      </c>
      <c r="C15">
        <v>2</v>
      </c>
      <c r="D15">
        <v>-75.36</v>
      </c>
      <c r="E15">
        <v>0.19803200000000001</v>
      </c>
      <c r="H15">
        <v>27.657</v>
      </c>
      <c r="K15">
        <f t="shared" si="1"/>
        <v>39.151967900455347</v>
      </c>
      <c r="L15">
        <f t="shared" si="0"/>
        <v>197.70525925332947</v>
      </c>
    </row>
    <row r="16" spans="1:36" x14ac:dyDescent="0.25">
      <c r="B16" t="s">
        <v>159</v>
      </c>
      <c r="C16">
        <v>3</v>
      </c>
      <c r="D16">
        <v>-77.33</v>
      </c>
      <c r="E16">
        <v>0.29309299999999999</v>
      </c>
      <c r="H16">
        <v>26.1798</v>
      </c>
      <c r="K16">
        <f t="shared" si="1"/>
        <v>35.903915677180358</v>
      </c>
      <c r="L16">
        <f t="shared" si="0"/>
        <v>122.50007907790483</v>
      </c>
    </row>
    <row r="17" spans="1:36" x14ac:dyDescent="0.25">
      <c r="B17" t="s">
        <v>160</v>
      </c>
      <c r="C17">
        <v>4</v>
      </c>
      <c r="D17">
        <v>-79.290000000000006</v>
      </c>
      <c r="E17">
        <v>0.55178199999999999</v>
      </c>
      <c r="H17">
        <v>30.378499999999999</v>
      </c>
      <c r="K17">
        <f t="shared" si="1"/>
        <v>43.804944878080711</v>
      </c>
      <c r="L17">
        <f t="shared" si="0"/>
        <v>79.38813676067852</v>
      </c>
    </row>
    <row r="18" spans="1:36" x14ac:dyDescent="0.25">
      <c r="B18" t="s">
        <v>161</v>
      </c>
      <c r="C18">
        <v>5</v>
      </c>
      <c r="D18">
        <v>-80.459999999999994</v>
      </c>
      <c r="E18">
        <v>0.182361</v>
      </c>
      <c r="H18">
        <v>20.124199999999998</v>
      </c>
      <c r="K18">
        <f t="shared" si="1"/>
        <v>25.158126643861834</v>
      </c>
      <c r="L18">
        <f t="shared" si="0"/>
        <v>137.95782345930235</v>
      </c>
    </row>
    <row r="19" spans="1:36" x14ac:dyDescent="0.25">
      <c r="B19" t="s">
        <v>162</v>
      </c>
      <c r="C19">
        <v>6</v>
      </c>
      <c r="D19">
        <v>-70.19</v>
      </c>
      <c r="E19">
        <v>0.40183999999999997</v>
      </c>
      <c r="H19">
        <v>26.378499999999999</v>
      </c>
      <c r="K19">
        <f t="shared" si="1"/>
        <v>37.718731461562278</v>
      </c>
      <c r="L19">
        <f t="shared" si="0"/>
        <v>93.865049426543607</v>
      </c>
    </row>
    <row r="21" spans="1:36" x14ac:dyDescent="0.25">
      <c r="A21" s="9">
        <v>43586</v>
      </c>
      <c r="B21" t="s">
        <v>164</v>
      </c>
      <c r="C21">
        <v>1</v>
      </c>
      <c r="D21">
        <v>-58.66</v>
      </c>
      <c r="E21">
        <v>0.198272</v>
      </c>
      <c r="H21">
        <v>11.264900000000001</v>
      </c>
      <c r="K21">
        <f>H21/(1-(0.8*(H21/ABS(D21))))</f>
        <v>13.309659386626837</v>
      </c>
      <c r="L21">
        <f>K21/E21</f>
        <v>67.128285318284156</v>
      </c>
      <c r="N21">
        <f>1.22/E21</f>
        <v>6.1531633311814069</v>
      </c>
    </row>
    <row r="22" spans="1:36" x14ac:dyDescent="0.25">
      <c r="A22" s="9">
        <v>43586</v>
      </c>
      <c r="B22" t="s">
        <v>165</v>
      </c>
      <c r="C22">
        <v>2</v>
      </c>
      <c r="D22">
        <v>-60.09</v>
      </c>
      <c r="E22">
        <v>0.24695600000000001</v>
      </c>
      <c r="H22">
        <v>15.924200000000001</v>
      </c>
      <c r="K22">
        <f t="shared" ref="K22:K27" si="2">H22/(1-(0.8*(H22/ABS(D22))))</f>
        <v>20.208495133328718</v>
      </c>
      <c r="L22">
        <f t="shared" ref="L22:L27" si="3">K22/E22</f>
        <v>81.83034683639481</v>
      </c>
      <c r="N22">
        <f>1.91/E22</f>
        <v>7.7341712693759206</v>
      </c>
    </row>
    <row r="23" spans="1:36" x14ac:dyDescent="0.25">
      <c r="A23" s="9">
        <v>43586</v>
      </c>
      <c r="B23" t="s">
        <v>166</v>
      </c>
      <c r="C23">
        <v>3</v>
      </c>
      <c r="D23">
        <v>-63.87</v>
      </c>
      <c r="E23">
        <v>0.28069100000000002</v>
      </c>
      <c r="H23">
        <v>18.180900000000001</v>
      </c>
      <c r="K23">
        <f t="shared" si="2"/>
        <v>23.541966370996782</v>
      </c>
      <c r="L23">
        <f t="shared" si="3"/>
        <v>83.871468522313791</v>
      </c>
      <c r="N23">
        <f>1.63/E23</f>
        <v>5.8070974844223713</v>
      </c>
    </row>
    <row r="24" spans="1:36" x14ac:dyDescent="0.25">
      <c r="A24" s="9">
        <v>43586</v>
      </c>
      <c r="B24" t="s">
        <v>167</v>
      </c>
      <c r="C24">
        <v>5</v>
      </c>
      <c r="D24">
        <v>-61.61</v>
      </c>
      <c r="E24">
        <v>0.37562499999999999</v>
      </c>
      <c r="H24">
        <v>18.4879</v>
      </c>
      <c r="K24">
        <f t="shared" si="2"/>
        <v>24.328220931881635</v>
      </c>
      <c r="L24">
        <f t="shared" si="3"/>
        <v>64.767310301182391</v>
      </c>
      <c r="N24">
        <f>2.89/E24</f>
        <v>7.6938435940099836</v>
      </c>
    </row>
    <row r="25" spans="1:36" x14ac:dyDescent="0.25">
      <c r="A25" s="9">
        <v>43586</v>
      </c>
      <c r="B25" t="s">
        <v>168</v>
      </c>
      <c r="C25">
        <v>6</v>
      </c>
      <c r="D25">
        <v>-60.84</v>
      </c>
      <c r="E25">
        <v>0.24001700000000001</v>
      </c>
      <c r="H25">
        <v>12.0175</v>
      </c>
      <c r="K25">
        <f t="shared" si="2"/>
        <v>14.272921953695388</v>
      </c>
      <c r="L25">
        <f t="shared" si="3"/>
        <v>59.466295944434719</v>
      </c>
      <c r="N25">
        <f>2.28/E25</f>
        <v>9.499327130994887</v>
      </c>
    </row>
    <row r="26" spans="1:36" x14ac:dyDescent="0.25">
      <c r="A26" s="9">
        <v>43586</v>
      </c>
      <c r="B26" t="s">
        <v>169</v>
      </c>
      <c r="C26">
        <v>7</v>
      </c>
      <c r="D26">
        <v>-54.27</v>
      </c>
      <c r="E26">
        <v>0.19936999999999999</v>
      </c>
      <c r="H26">
        <v>7.5096100000000003</v>
      </c>
      <c r="K26">
        <f t="shared" si="2"/>
        <v>8.4444055373890912</v>
      </c>
      <c r="L26">
        <f t="shared" si="3"/>
        <v>42.355447346085626</v>
      </c>
      <c r="N26">
        <f>1.79/E26</f>
        <v>8.9782815869990475</v>
      </c>
    </row>
    <row r="27" spans="1:36" x14ac:dyDescent="0.25">
      <c r="A27" s="9">
        <v>43586</v>
      </c>
      <c r="B27" t="s">
        <v>170</v>
      </c>
      <c r="C27">
        <v>8</v>
      </c>
      <c r="D27">
        <v>-59.17</v>
      </c>
      <c r="E27">
        <v>0.194221</v>
      </c>
      <c r="H27">
        <v>14.5603</v>
      </c>
      <c r="K27">
        <f t="shared" si="2"/>
        <v>18.129230714518989</v>
      </c>
      <c r="L27">
        <f t="shared" si="3"/>
        <v>93.343308470860464</v>
      </c>
      <c r="N27">
        <f>2.11/E27</f>
        <v>10.863912759176401</v>
      </c>
    </row>
    <row r="29" spans="1:36" x14ac:dyDescent="0.25">
      <c r="A29" t="s">
        <v>622</v>
      </c>
      <c r="B29" t="s">
        <v>610</v>
      </c>
      <c r="C29">
        <v>1</v>
      </c>
      <c r="D29">
        <v>-73.73</v>
      </c>
      <c r="E29">
        <v>0.23905022442340901</v>
      </c>
      <c r="F29">
        <v>0.85682791471481301</v>
      </c>
      <c r="G29">
        <v>3.4711384773254399</v>
      </c>
      <c r="H29">
        <v>15.4780464172363</v>
      </c>
      <c r="K29">
        <v>18.602146670954081</v>
      </c>
      <c r="L29">
        <v>77.816896912866753</v>
      </c>
      <c r="P29">
        <v>16.0763435363769</v>
      </c>
      <c r="Q29">
        <v>16.245006561279201</v>
      </c>
      <c r="R29">
        <v>17.428627014160099</v>
      </c>
      <c r="S29">
        <v>18.1048049926757</v>
      </c>
      <c r="T29">
        <v>17.425064086913999</v>
      </c>
      <c r="U29">
        <v>15.2798919677734</v>
      </c>
      <c r="V29">
        <v>16.029674530029201</v>
      </c>
      <c r="W29">
        <v>14.8786277770996</v>
      </c>
      <c r="X29">
        <v>12.968456268310501</v>
      </c>
      <c r="Y29">
        <v>14.6553</v>
      </c>
      <c r="AA29">
        <v>1</v>
      </c>
      <c r="AB29">
        <v>1.0104913797419579</v>
      </c>
      <c r="AC29">
        <v>1.0841163585938125</v>
      </c>
      <c r="AD29">
        <v>1.1261767921112709</v>
      </c>
      <c r="AE29">
        <v>1.0838947331204554</v>
      </c>
      <c r="AF29">
        <v>0.95045816439532282</v>
      </c>
      <c r="AG29">
        <v>0.9970970384999488</v>
      </c>
      <c r="AH29">
        <v>0.92549824799605973</v>
      </c>
      <c r="AI29">
        <v>0.80667946905750065</v>
      </c>
      <c r="AJ29">
        <v>0.91160654578191747</v>
      </c>
    </row>
    <row r="30" spans="1:36" x14ac:dyDescent="0.25">
      <c r="B30" t="s">
        <v>611</v>
      </c>
      <c r="C30">
        <v>2</v>
      </c>
      <c r="D30">
        <v>-51.93</v>
      </c>
      <c r="E30">
        <v>0.18276846408844</v>
      </c>
      <c r="F30">
        <v>1.4996032714843699</v>
      </c>
      <c r="G30">
        <v>3.0292184352874698</v>
      </c>
      <c r="H30">
        <v>7.3916091918945304</v>
      </c>
      <c r="K30">
        <v>8.3414534254960166</v>
      </c>
      <c r="L30">
        <v>45.639456823687389</v>
      </c>
      <c r="P30">
        <v>6.5285606384277299</v>
      </c>
      <c r="Q30">
        <v>7.5260429382324201</v>
      </c>
      <c r="R30">
        <v>8.2475814819335902</v>
      </c>
      <c r="S30">
        <v>8.9331741333007795</v>
      </c>
      <c r="T30">
        <v>8.8141784667968697</v>
      </c>
      <c r="U30">
        <v>9.3807258605956996</v>
      </c>
      <c r="V30">
        <v>9.6103897094726491</v>
      </c>
      <c r="W30">
        <v>9.3098411560058505</v>
      </c>
      <c r="X30">
        <v>9.1695976257324201</v>
      </c>
      <c r="Y30">
        <v>10.0841674804687</v>
      </c>
      <c r="AA30">
        <v>1</v>
      </c>
      <c r="AB30">
        <v>1.1527874756854388</v>
      </c>
      <c r="AC30">
        <v>1.2633077853926238</v>
      </c>
      <c r="AD30">
        <v>1.3683221506313759</v>
      </c>
      <c r="AE30">
        <v>1.3500952131647175</v>
      </c>
      <c r="AF30">
        <v>1.4368750449187611</v>
      </c>
      <c r="AG30">
        <v>1.4720533731286771</v>
      </c>
      <c r="AH30">
        <v>1.4260174135792258</v>
      </c>
      <c r="AI30">
        <v>1.4045358745324803</v>
      </c>
      <c r="AJ30">
        <v>1.5446233923465962</v>
      </c>
    </row>
    <row r="31" spans="1:36" x14ac:dyDescent="0.25">
      <c r="B31" t="s">
        <v>612</v>
      </c>
      <c r="C31">
        <v>3</v>
      </c>
      <c r="D31">
        <v>-76.03</v>
      </c>
      <c r="E31">
        <v>0.20816357433795901</v>
      </c>
      <c r="F31">
        <v>1.1810177564620901</v>
      </c>
      <c r="G31">
        <v>2.0507438182830802</v>
      </c>
      <c r="H31">
        <v>12.3414764404296</v>
      </c>
      <c r="K31">
        <v>14.183306726500858</v>
      </c>
      <c r="L31">
        <v>68.135391946498231</v>
      </c>
      <c r="P31">
        <v>11.8365783691406</v>
      </c>
      <c r="Q31">
        <v>12.6672210693359</v>
      </c>
      <c r="R31">
        <v>12.818035125732401</v>
      </c>
      <c r="S31">
        <v>12.7556190490722</v>
      </c>
      <c r="T31">
        <v>13.2459297180175</v>
      </c>
      <c r="U31">
        <v>12.8943786621093</v>
      </c>
      <c r="V31">
        <v>11.291374206542899</v>
      </c>
      <c r="W31">
        <v>10.6063690185546</v>
      </c>
      <c r="X31">
        <v>10.089591979980399</v>
      </c>
      <c r="Y31">
        <v>10.282768249511699</v>
      </c>
      <c r="AA31">
        <v>1</v>
      </c>
      <c r="AB31">
        <v>1.0701759135360338</v>
      </c>
      <c r="AC31">
        <v>1.0829172693310236</v>
      </c>
      <c r="AD31">
        <v>1.0776441173513158</v>
      </c>
      <c r="AE31">
        <v>1.1190674623125252</v>
      </c>
      <c r="AF31">
        <v>1.0893670670678373</v>
      </c>
      <c r="AG31">
        <v>0.95393904001690943</v>
      </c>
      <c r="AH31">
        <v>0.89606714776684915</v>
      </c>
      <c r="AI31">
        <v>0.85240782135867854</v>
      </c>
      <c r="AJ31">
        <v>0.8687281010465091</v>
      </c>
    </row>
    <row r="32" spans="1:36" x14ac:dyDescent="0.25">
      <c r="B32" t="s">
        <v>613</v>
      </c>
      <c r="C32">
        <v>4</v>
      </c>
      <c r="D32">
        <v>-72.89</v>
      </c>
      <c r="E32">
        <v>0.285867899656296</v>
      </c>
      <c r="F32">
        <v>1.1956385374069201</v>
      </c>
      <c r="G32">
        <v>3.5004820823669398</v>
      </c>
      <c r="H32">
        <v>5.0464630126953098</v>
      </c>
      <c r="K32">
        <v>5.342361253510771</v>
      </c>
      <c r="L32">
        <v>18.688216690065538</v>
      </c>
      <c r="P32">
        <v>6.04532623291015</v>
      </c>
      <c r="Q32">
        <v>5.61710357666015</v>
      </c>
      <c r="R32">
        <v>6.1110763549804599</v>
      </c>
      <c r="S32">
        <v>5.7544479370117099</v>
      </c>
      <c r="T32">
        <v>5.3171463012695304</v>
      </c>
      <c r="U32">
        <v>5.7352142333984304</v>
      </c>
      <c r="V32">
        <v>5.3641357421875</v>
      </c>
      <c r="W32">
        <v>5.7412109375</v>
      </c>
      <c r="X32">
        <v>4.5433120727539</v>
      </c>
      <c r="Y32">
        <v>5.1977157592773402</v>
      </c>
      <c r="AA32">
        <v>1</v>
      </c>
      <c r="AB32">
        <v>0.92916467370796318</v>
      </c>
      <c r="AC32">
        <v>1.010876190884848</v>
      </c>
      <c r="AD32">
        <v>0.95188377191045082</v>
      </c>
      <c r="AE32">
        <v>0.87954662766146829</v>
      </c>
      <c r="AF32">
        <v>0.94870218949913721</v>
      </c>
      <c r="AG32">
        <v>0.88731948211259182</v>
      </c>
      <c r="AH32">
        <v>0.9496941465698614</v>
      </c>
      <c r="AI32">
        <v>0.75154125645371539</v>
      </c>
      <c r="AJ32">
        <v>0.85979078035218293</v>
      </c>
    </row>
    <row r="33" spans="1:36" x14ac:dyDescent="0.25">
      <c r="B33" t="s">
        <v>614</v>
      </c>
      <c r="C33">
        <v>5</v>
      </c>
      <c r="D33">
        <v>-63.98</v>
      </c>
      <c r="E33">
        <v>0.14816044270992301</v>
      </c>
      <c r="F33">
        <v>0.87881207466125499</v>
      </c>
      <c r="G33">
        <v>2.7515842914581299</v>
      </c>
      <c r="H33">
        <v>14.574684143066399</v>
      </c>
      <c r="K33">
        <v>17.822702368770894</v>
      </c>
      <c r="L33">
        <v>120.29325805718062</v>
      </c>
      <c r="P33">
        <v>15.6635208129882</v>
      </c>
      <c r="Q33">
        <v>16.753067016601499</v>
      </c>
      <c r="R33">
        <v>17.0928421020507</v>
      </c>
      <c r="S33">
        <v>16.357627868652301</v>
      </c>
      <c r="T33">
        <v>15.704765319824199</v>
      </c>
      <c r="U33">
        <v>15.301631927490201</v>
      </c>
      <c r="V33">
        <v>15.0394744873046</v>
      </c>
      <c r="W33">
        <v>13.0122413635253</v>
      </c>
      <c r="X33">
        <v>13.2084045410156</v>
      </c>
      <c r="Y33">
        <v>13.074886322021401</v>
      </c>
      <c r="AA33">
        <v>1</v>
      </c>
      <c r="AB33">
        <v>1.0695594698421729</v>
      </c>
      <c r="AC33">
        <v>1.0912515970149768</v>
      </c>
      <c r="AD33">
        <v>1.044313603815596</v>
      </c>
      <c r="AE33">
        <v>1.0026331568316238</v>
      </c>
      <c r="AF33">
        <v>0.97689607018634528</v>
      </c>
      <c r="AG33">
        <v>0.96015925581902761</v>
      </c>
      <c r="AH33">
        <v>0.8307354086531773</v>
      </c>
      <c r="AI33">
        <v>0.84325897725773025</v>
      </c>
      <c r="AJ33">
        <v>0.83473482610497751</v>
      </c>
    </row>
    <row r="34" spans="1:36" x14ac:dyDescent="0.25">
      <c r="B34" t="s">
        <v>615</v>
      </c>
      <c r="C34">
        <v>6</v>
      </c>
      <c r="D34">
        <v>-58.02</v>
      </c>
      <c r="E34">
        <v>0.29310855269432101</v>
      </c>
      <c r="F34">
        <v>1.31717717647552</v>
      </c>
      <c r="G34">
        <v>4.6164364814758301</v>
      </c>
      <c r="H34">
        <v>10.9826889038085</v>
      </c>
      <c r="K34">
        <v>12.94263245174105</v>
      </c>
      <c r="L34">
        <v>44.156447612222181</v>
      </c>
      <c r="P34">
        <v>11.075889587402299</v>
      </c>
      <c r="Q34">
        <v>11.7664833068847</v>
      </c>
      <c r="R34">
        <v>11.855690002441399</v>
      </c>
      <c r="S34">
        <v>12.1504249572753</v>
      </c>
      <c r="T34">
        <v>11.746925354003899</v>
      </c>
      <c r="U34">
        <v>12.0454788208007</v>
      </c>
      <c r="V34">
        <v>11.058555603027299</v>
      </c>
      <c r="W34">
        <v>11.636714935302701</v>
      </c>
      <c r="X34">
        <v>11.290641784667899</v>
      </c>
      <c r="Y34">
        <v>11.3122596740722</v>
      </c>
      <c r="AA34">
        <v>1</v>
      </c>
      <c r="AB34">
        <v>1.0623510837691883</v>
      </c>
      <c r="AC34">
        <v>1.0704052174667797</v>
      </c>
      <c r="AD34">
        <v>1.0970157170124895</v>
      </c>
      <c r="AE34">
        <v>1.0605852704928402</v>
      </c>
      <c r="AF34">
        <v>1.0875405289793796</v>
      </c>
      <c r="AG34">
        <v>0.99843498039248102</v>
      </c>
      <c r="AH34">
        <v>1.0506347904134294</v>
      </c>
      <c r="AI34">
        <v>1.0193891601727285</v>
      </c>
      <c r="AJ34">
        <v>1.0213409572932857</v>
      </c>
    </row>
    <row r="35" spans="1:36" x14ac:dyDescent="0.25">
      <c r="B35" t="s">
        <v>616</v>
      </c>
      <c r="C35">
        <v>7</v>
      </c>
      <c r="D35">
        <v>-52.56</v>
      </c>
      <c r="E35">
        <v>0.14222460985183699</v>
      </c>
      <c r="F35">
        <v>1.1428811550140301</v>
      </c>
      <c r="G35">
        <v>2.6771354675292902</v>
      </c>
      <c r="H35">
        <v>10.986732482910099</v>
      </c>
      <c r="K35">
        <v>13.192930287004476</v>
      </c>
      <c r="L35">
        <v>92.761233802984307</v>
      </c>
      <c r="P35">
        <v>10.664810180664</v>
      </c>
      <c r="Q35">
        <v>12.1101875305175</v>
      </c>
      <c r="R35">
        <v>12.9862403869628</v>
      </c>
      <c r="S35">
        <v>11.7362365722656</v>
      </c>
      <c r="T35">
        <v>12.007274627685501</v>
      </c>
      <c r="U35">
        <v>11.8087005615234</v>
      </c>
      <c r="V35">
        <v>10.8433990478515</v>
      </c>
      <c r="W35">
        <v>11.3097991943359</v>
      </c>
      <c r="X35">
        <v>9.6885299682617099</v>
      </c>
      <c r="Y35">
        <v>10.265953063964799</v>
      </c>
      <c r="AA35">
        <v>1</v>
      </c>
      <c r="AB35">
        <v>1.135527714546112</v>
      </c>
      <c r="AC35">
        <v>1.2176719666804483</v>
      </c>
      <c r="AD35">
        <v>1.1004637094755017</v>
      </c>
      <c r="AE35">
        <v>1.125877950406982</v>
      </c>
      <c r="AF35">
        <v>1.107258391052599</v>
      </c>
      <c r="AG35">
        <v>1.0167456207998238</v>
      </c>
      <c r="AH35">
        <v>1.0604782460021003</v>
      </c>
      <c r="AI35">
        <v>0.90845779757314848</v>
      </c>
      <c r="AJ35">
        <v>0.96260063611611624</v>
      </c>
    </row>
    <row r="36" spans="1:36" x14ac:dyDescent="0.25">
      <c r="B36" t="s">
        <v>617</v>
      </c>
      <c r="C36">
        <v>8</v>
      </c>
      <c r="D36">
        <v>-57.76</v>
      </c>
      <c r="E36">
        <v>0.65611380338668801</v>
      </c>
      <c r="F36">
        <v>0.83438789844512895</v>
      </c>
      <c r="G36">
        <v>4.4768247604370099</v>
      </c>
      <c r="H36">
        <v>29.619422912597599</v>
      </c>
      <c r="K36">
        <v>50.222953293938218</v>
      </c>
      <c r="L36">
        <v>76.546100744566658</v>
      </c>
      <c r="P36">
        <v>28.604463577270501</v>
      </c>
      <c r="Q36">
        <v>32.317493438720703</v>
      </c>
      <c r="R36">
        <v>33.723381042480398</v>
      </c>
      <c r="S36">
        <v>33.124645233154197</v>
      </c>
      <c r="T36">
        <v>32.787387847900298</v>
      </c>
      <c r="U36">
        <v>29.993339538574201</v>
      </c>
      <c r="V36">
        <v>28.836086273193299</v>
      </c>
      <c r="W36">
        <v>30.4506530761718</v>
      </c>
      <c r="X36">
        <v>30.312236785888601</v>
      </c>
      <c r="Y36">
        <v>27.8013820648193</v>
      </c>
      <c r="AA36">
        <v>1</v>
      </c>
      <c r="AB36">
        <v>1.1298059602278516</v>
      </c>
      <c r="AC36">
        <v>1.1789551987710567</v>
      </c>
      <c r="AD36">
        <v>1.1580236470323286</v>
      </c>
      <c r="AE36">
        <v>1.1462332708785214</v>
      </c>
      <c r="AF36">
        <v>1.0485545186873324</v>
      </c>
      <c r="AG36">
        <v>1.0080974319024409</v>
      </c>
      <c r="AH36">
        <v>1.0645420073658822</v>
      </c>
      <c r="AI36">
        <v>1.0597030321510772</v>
      </c>
      <c r="AJ36">
        <v>0.97192460853943996</v>
      </c>
    </row>
    <row r="37" spans="1:36" x14ac:dyDescent="0.25">
      <c r="B37" t="s">
        <v>618</v>
      </c>
      <c r="C37">
        <v>9</v>
      </c>
      <c r="D37">
        <v>-64.48</v>
      </c>
      <c r="E37">
        <v>8.5474692285060994E-2</v>
      </c>
      <c r="F37">
        <v>0.75981754064559903</v>
      </c>
      <c r="G37">
        <v>2.0462057590484601</v>
      </c>
      <c r="H37">
        <v>3.4111022949218701</v>
      </c>
      <c r="K37">
        <v>3.5618444251033163</v>
      </c>
      <c r="L37">
        <v>41.671333699856383</v>
      </c>
      <c r="P37">
        <v>3.3145828247070299</v>
      </c>
      <c r="Q37">
        <v>3.36624908447265</v>
      </c>
      <c r="R37">
        <v>3.3532943725585902</v>
      </c>
      <c r="S37">
        <v>3.30924987792968</v>
      </c>
      <c r="T37">
        <v>3.0457496643066402</v>
      </c>
      <c r="U37">
        <v>3.0832023620605402</v>
      </c>
      <c r="V37">
        <v>2.6458854675292902</v>
      </c>
      <c r="W37">
        <v>2.60561752319335</v>
      </c>
      <c r="X37">
        <v>2.74234771728515</v>
      </c>
      <c r="AA37">
        <v>1</v>
      </c>
      <c r="AB37">
        <v>1.0155875603350437</v>
      </c>
      <c r="AC37">
        <v>1.0116791614205574</v>
      </c>
      <c r="AD37">
        <v>0.99839106546452905</v>
      </c>
      <c r="AE37">
        <v>0.91889381722595775</v>
      </c>
      <c r="AF37">
        <v>0.93019318723256195</v>
      </c>
      <c r="AG37">
        <v>0.79825595179180819</v>
      </c>
      <c r="AH37">
        <v>0.78610723007763605</v>
      </c>
      <c r="AI37">
        <v>0.82735833204817899</v>
      </c>
      <c r="AJ37">
        <v>0</v>
      </c>
    </row>
    <row r="38" spans="1:36" x14ac:dyDescent="0.25">
      <c r="B38" t="s">
        <v>619</v>
      </c>
      <c r="C38">
        <v>10</v>
      </c>
      <c r="D38">
        <v>-50.44</v>
      </c>
      <c r="E38">
        <v>0.123784735798836</v>
      </c>
      <c r="F38">
        <v>1.29117739200592</v>
      </c>
      <c r="G38">
        <v>2.1189191341400102</v>
      </c>
      <c r="H38">
        <v>1.4715499877929601</v>
      </c>
      <c r="K38">
        <v>1.5067158512751391</v>
      </c>
      <c r="L38">
        <v>12.172065009079313</v>
      </c>
      <c r="P38">
        <v>1.59377288818359</v>
      </c>
      <c r="Q38">
        <v>1.48077392578125</v>
      </c>
      <c r="R38">
        <v>1.2903594970703101</v>
      </c>
      <c r="S38">
        <v>1.6381187438964799</v>
      </c>
      <c r="T38">
        <v>1.4961814880371</v>
      </c>
      <c r="U38">
        <v>1.4742393493652299</v>
      </c>
      <c r="V38">
        <v>1.6168136596679601</v>
      </c>
      <c r="W38">
        <v>1.1131057739257799</v>
      </c>
      <c r="X38">
        <v>1.1793746948242101</v>
      </c>
      <c r="Y38">
        <v>1.3773269653320299</v>
      </c>
      <c r="AA38">
        <v>1</v>
      </c>
      <c r="AB38">
        <v>0.9290997084715602</v>
      </c>
      <c r="AC38">
        <v>0.80962570428771841</v>
      </c>
      <c r="AD38">
        <v>1.0278244510505072</v>
      </c>
      <c r="AE38">
        <v>0.93876705967955443</v>
      </c>
      <c r="AF38">
        <v>0.92499964097482457</v>
      </c>
      <c r="AG38">
        <v>1.0144567470404329</v>
      </c>
      <c r="AH38">
        <v>0.6984092791253198</v>
      </c>
      <c r="AI38">
        <v>0.73998918137472769</v>
      </c>
      <c r="AJ38">
        <v>0.86419274386186751</v>
      </c>
    </row>
    <row r="39" spans="1:36" x14ac:dyDescent="0.25">
      <c r="B39" t="s">
        <v>620</v>
      </c>
      <c r="C39">
        <v>11</v>
      </c>
      <c r="D39">
        <v>-61.08</v>
      </c>
      <c r="E39">
        <v>0.13802482187748</v>
      </c>
      <c r="F39">
        <v>1.2156505584716799</v>
      </c>
      <c r="G39">
        <v>2.1786327362060498</v>
      </c>
      <c r="H39">
        <v>3.5027770996093701</v>
      </c>
      <c r="K39">
        <v>3.6712042121476856</v>
      </c>
      <c r="L39">
        <v>26.598144900389659</v>
      </c>
      <c r="P39">
        <v>3.1213531494140598</v>
      </c>
      <c r="Q39">
        <v>3.7186203002929599</v>
      </c>
      <c r="R39">
        <v>4.2670516967773402</v>
      </c>
      <c r="S39">
        <v>3.3653450012207</v>
      </c>
      <c r="T39">
        <v>3.5085792541503902</v>
      </c>
      <c r="U39">
        <v>3.5460624694824201</v>
      </c>
      <c r="V39">
        <v>3.7463302612304599</v>
      </c>
      <c r="W39">
        <v>3.0286521911621</v>
      </c>
      <c r="X39">
        <v>3.0982704162597599</v>
      </c>
      <c r="Y39">
        <v>2.9054679870605402</v>
      </c>
      <c r="AA39">
        <v>1</v>
      </c>
      <c r="AB39">
        <v>1.1913487908252287</v>
      </c>
      <c r="AC39">
        <v>1.3670518818347583</v>
      </c>
      <c r="AD39">
        <v>1.0781686147408351</v>
      </c>
      <c r="AE39">
        <v>1.1240571272138882</v>
      </c>
      <c r="AF39">
        <v>1.1360657701125829</v>
      </c>
      <c r="AG39">
        <v>1.2002263383538387</v>
      </c>
      <c r="AH39">
        <v>0.97030103489912334</v>
      </c>
      <c r="AI39">
        <v>0.99260489536128482</v>
      </c>
      <c r="AJ39">
        <v>0.93083603423917427</v>
      </c>
    </row>
    <row r="40" spans="1:36" x14ac:dyDescent="0.25">
      <c r="B40" t="s">
        <v>621</v>
      </c>
      <c r="C40">
        <v>12</v>
      </c>
      <c r="D40">
        <v>-65.36</v>
      </c>
      <c r="E40">
        <v>0.213116824626923</v>
      </c>
      <c r="F40">
        <v>0.81885629892349199</v>
      </c>
      <c r="G40">
        <v>1.9338076114654501</v>
      </c>
      <c r="H40">
        <v>19.062534332275298</v>
      </c>
      <c r="K40">
        <v>24.863858049566335</v>
      </c>
      <c r="L40">
        <v>116.66773889434766</v>
      </c>
      <c r="P40">
        <v>18.8850898742675</v>
      </c>
      <c r="Q40">
        <v>20.314163208007798</v>
      </c>
      <c r="R40">
        <v>20.0558052062988</v>
      </c>
      <c r="S40">
        <v>20.139850616455</v>
      </c>
      <c r="T40">
        <v>18.3391914367675</v>
      </c>
      <c r="U40">
        <v>18.621868133544901</v>
      </c>
      <c r="V40">
        <v>17.068641662597599</v>
      </c>
      <c r="W40">
        <v>16.7167243957519</v>
      </c>
      <c r="X40">
        <v>15.4223175048828</v>
      </c>
      <c r="Y40">
        <v>16.390922546386701</v>
      </c>
      <c r="AA40">
        <v>1</v>
      </c>
      <c r="AB40">
        <v>1.0756720430379063</v>
      </c>
      <c r="AC40">
        <v>1.0619915149901666</v>
      </c>
      <c r="AD40">
        <v>1.0664418729559353</v>
      </c>
      <c r="AE40">
        <v>0.971093680721963</v>
      </c>
      <c r="AF40">
        <v>0.98606192808850435</v>
      </c>
      <c r="AG40">
        <v>0.90381574968594869</v>
      </c>
      <c r="AH40">
        <v>0.88518108767540593</v>
      </c>
      <c r="AI40">
        <v>0.81663987873825195</v>
      </c>
      <c r="AJ40">
        <v>0.86792928471686503</v>
      </c>
    </row>
    <row r="42" spans="1:36" x14ac:dyDescent="0.25">
      <c r="A42" t="s">
        <v>623</v>
      </c>
      <c r="B42" t="s">
        <v>624</v>
      </c>
      <c r="C42">
        <v>1</v>
      </c>
      <c r="D42">
        <v>-82.35</v>
      </c>
      <c r="E42">
        <v>0.235453456640244</v>
      </c>
      <c r="F42">
        <v>1.0146416425704901</v>
      </c>
      <c r="G42">
        <v>4.1514921188354403</v>
      </c>
      <c r="H42">
        <v>12.325599670410099</v>
      </c>
      <c r="K42">
        <v>14.002205134842711</v>
      </c>
      <c r="L42">
        <v>59.469099900440519</v>
      </c>
      <c r="P42">
        <v>12.520503997802701</v>
      </c>
      <c r="Q42">
        <v>13.567623138427701</v>
      </c>
      <c r="R42">
        <v>14.0315437316894</v>
      </c>
      <c r="S42">
        <v>13.677486419677701</v>
      </c>
      <c r="T42">
        <v>12.9789428710937</v>
      </c>
      <c r="U42">
        <v>12.6787147521972</v>
      </c>
      <c r="V42">
        <v>11.6694526672363</v>
      </c>
      <c r="W42">
        <v>11.5286407470703</v>
      </c>
      <c r="X42">
        <v>11.5303649902343</v>
      </c>
      <c r="Y42">
        <v>10.900108337402299</v>
      </c>
      <c r="AA42">
        <v>1</v>
      </c>
      <c r="AB42">
        <v>1.0836323474525278</v>
      </c>
      <c r="AC42">
        <v>1.1206852163580541</v>
      </c>
      <c r="AD42">
        <v>1.0924070166886291</v>
      </c>
      <c r="AE42">
        <v>1.0366150494717667</v>
      </c>
      <c r="AF42">
        <v>1.0126361330520133</v>
      </c>
      <c r="AG42">
        <v>0.93202739037376159</v>
      </c>
      <c r="AH42">
        <v>0.9207808846268114</v>
      </c>
      <c r="AI42">
        <v>0.92091859818565081</v>
      </c>
      <c r="AJ42">
        <v>0.87058063631585647</v>
      </c>
    </row>
    <row r="43" spans="1:36" x14ac:dyDescent="0.25">
      <c r="B43" t="s">
        <v>625</v>
      </c>
      <c r="C43">
        <v>2</v>
      </c>
      <c r="D43">
        <v>-56.35</v>
      </c>
      <c r="E43">
        <v>0.157635673880577</v>
      </c>
      <c r="F43">
        <v>1.42218077182769</v>
      </c>
      <c r="G43">
        <v>2.83472681045532</v>
      </c>
      <c r="H43">
        <v>12.592571258544901</v>
      </c>
      <c r="K43">
        <v>15.333915302899966</v>
      </c>
      <c r="L43">
        <v>97.274398144907011</v>
      </c>
      <c r="P43">
        <v>12.011734008789</v>
      </c>
      <c r="Q43">
        <v>13.353416442871</v>
      </c>
      <c r="R43">
        <v>14.2427215576171</v>
      </c>
      <c r="S43">
        <v>13.550655364990201</v>
      </c>
      <c r="T43">
        <v>13.7252693176269</v>
      </c>
      <c r="U43">
        <v>12.4700965881347</v>
      </c>
      <c r="V43">
        <v>12.3209381103515</v>
      </c>
      <c r="W43">
        <v>11.488918304443301</v>
      </c>
      <c r="X43">
        <v>12.2363891601562</v>
      </c>
      <c r="Y43">
        <v>10.9790687561035</v>
      </c>
      <c r="AA43">
        <v>1</v>
      </c>
      <c r="AB43">
        <v>1.1116976477418072</v>
      </c>
      <c r="AC43">
        <v>1.185734012024882</v>
      </c>
      <c r="AD43">
        <v>1.128118168040948</v>
      </c>
      <c r="AE43">
        <v>1.1426551160377099</v>
      </c>
      <c r="AF43">
        <v>1.0381595678867277</v>
      </c>
      <c r="AG43">
        <v>1.0257418372181948</v>
      </c>
      <c r="AH43">
        <v>0.95647458527110618</v>
      </c>
      <c r="AI43">
        <v>1.0187029742086213</v>
      </c>
      <c r="AJ43">
        <v>0.91402862801241702</v>
      </c>
    </row>
    <row r="44" spans="1:36" x14ac:dyDescent="0.25">
      <c r="B44" t="s">
        <v>626</v>
      </c>
      <c r="C44">
        <v>3</v>
      </c>
      <c r="D44">
        <v>-63.14</v>
      </c>
      <c r="E44">
        <v>0.180611237883568</v>
      </c>
      <c r="F44">
        <v>0.75760746002197299</v>
      </c>
      <c r="G44">
        <v>2.6558976173400799</v>
      </c>
      <c r="H44">
        <v>18.036777496337798</v>
      </c>
      <c r="K44">
        <v>23.379770427899079</v>
      </c>
      <c r="L44">
        <v>129.44803823874443</v>
      </c>
      <c r="P44">
        <v>17.8421325683593</v>
      </c>
      <c r="Q44">
        <v>18.922569274902301</v>
      </c>
      <c r="R44">
        <v>19.622764587402301</v>
      </c>
      <c r="S44">
        <v>19.643138885498001</v>
      </c>
      <c r="T44">
        <v>18.083503723144499</v>
      </c>
      <c r="U44">
        <v>17.208656311035099</v>
      </c>
      <c r="V44">
        <v>17.502452850341701</v>
      </c>
      <c r="W44">
        <v>15.997673034667899</v>
      </c>
      <c r="X44">
        <v>16.383312225341701</v>
      </c>
      <c r="Y44">
        <v>15.0171508789062</v>
      </c>
      <c r="Z44">
        <v>9.9820747375488192</v>
      </c>
      <c r="AA44">
        <v>1</v>
      </c>
      <c r="AB44">
        <v>1.0605553569565453</v>
      </c>
      <c r="AC44">
        <v>1.0997992819647984</v>
      </c>
      <c r="AD44">
        <v>1.1009412025293743</v>
      </c>
      <c r="AE44">
        <v>1.0135281561136498</v>
      </c>
      <c r="AF44">
        <v>0.96449548534082807</v>
      </c>
      <c r="AG44">
        <v>0.98096193284540567</v>
      </c>
      <c r="AH44">
        <v>0.89662337018152694</v>
      </c>
      <c r="AI44">
        <v>0.91823733304141975</v>
      </c>
      <c r="AJ44">
        <v>0.84166793522973604</v>
      </c>
    </row>
    <row r="45" spans="1:36" x14ac:dyDescent="0.25">
      <c r="B45" t="s">
        <v>627</v>
      </c>
      <c r="C45">
        <v>4</v>
      </c>
      <c r="D45">
        <v>-64.489999999999995</v>
      </c>
      <c r="E45">
        <v>0.24356091022491499</v>
      </c>
      <c r="F45">
        <v>0.82458156347274802</v>
      </c>
      <c r="G45">
        <v>2.65107941627502</v>
      </c>
      <c r="H45">
        <v>21.436775207519499</v>
      </c>
      <c r="K45">
        <v>29.202380663291056</v>
      </c>
      <c r="L45">
        <v>119.89764957079639</v>
      </c>
      <c r="P45">
        <v>20.341651916503899</v>
      </c>
      <c r="Q45">
        <v>23.146251678466701</v>
      </c>
      <c r="R45">
        <v>24.1080207824707</v>
      </c>
      <c r="S45">
        <v>24.1949958801269</v>
      </c>
      <c r="T45">
        <v>23.218315124511701</v>
      </c>
      <c r="U45">
        <v>20.970760345458899</v>
      </c>
      <c r="V45">
        <v>20.535839080810501</v>
      </c>
      <c r="W45">
        <v>20.472084045410099</v>
      </c>
      <c r="X45">
        <v>19.981533050537099</v>
      </c>
      <c r="Y45">
        <v>18.130687713623001</v>
      </c>
      <c r="AA45">
        <v>1</v>
      </c>
      <c r="AB45">
        <v>1.1378747298142158</v>
      </c>
      <c r="AC45">
        <v>1.1851555066140431</v>
      </c>
      <c r="AD45">
        <v>1.1894312211928397</v>
      </c>
      <c r="AE45">
        <v>1.1414173843803641</v>
      </c>
      <c r="AF45">
        <v>1.0309271061926186</v>
      </c>
      <c r="AG45">
        <v>1.0095462829225315</v>
      </c>
      <c r="AH45">
        <v>1.0064120716174667</v>
      </c>
      <c r="AI45">
        <v>0.98229647879901916</v>
      </c>
      <c r="AJ45">
        <v>0.89130852243681025</v>
      </c>
    </row>
    <row r="46" spans="1:36" x14ac:dyDescent="0.25">
      <c r="B46" t="s">
        <v>628</v>
      </c>
      <c r="C46">
        <v>5</v>
      </c>
      <c r="D46">
        <v>-65.61</v>
      </c>
      <c r="E46">
        <v>0.18813787400722501</v>
      </c>
      <c r="F46">
        <v>0.78019797801971402</v>
      </c>
      <c r="G46">
        <v>2.5975570678710902</v>
      </c>
      <c r="H46">
        <v>15.881523132324199</v>
      </c>
      <c r="K46">
        <v>19.695511507352009</v>
      </c>
      <c r="L46">
        <v>104.6865848319071</v>
      </c>
      <c r="P46">
        <v>15.624061584472599</v>
      </c>
      <c r="Q46">
        <v>17.6854743957519</v>
      </c>
      <c r="R46">
        <v>18.023841857910099</v>
      </c>
      <c r="S46">
        <v>17.1532478332519</v>
      </c>
      <c r="T46">
        <v>17.934730529785099</v>
      </c>
      <c r="U46">
        <v>16.358268737792901</v>
      </c>
      <c r="V46">
        <v>16.482093811035099</v>
      </c>
      <c r="W46">
        <v>15.9716987609863</v>
      </c>
      <c r="X46">
        <v>15.3363189697265</v>
      </c>
      <c r="Y46">
        <v>14.8046913146972</v>
      </c>
      <c r="AA46">
        <v>1</v>
      </c>
      <c r="AB46">
        <v>1.1319383439532753</v>
      </c>
      <c r="AC46">
        <v>1.1535951622094496</v>
      </c>
      <c r="AD46">
        <v>1.0978737980845534</v>
      </c>
      <c r="AE46">
        <v>1.1478916946672095</v>
      </c>
      <c r="AF46">
        <v>1.0469920800907471</v>
      </c>
      <c r="AG46">
        <v>1.05491736075946</v>
      </c>
      <c r="AH46">
        <v>1.022250115607531</v>
      </c>
      <c r="AI46">
        <v>0.98158336657914469</v>
      </c>
      <c r="AJ46">
        <v>0.94755715309073663</v>
      </c>
    </row>
    <row r="47" spans="1:36" x14ac:dyDescent="0.25">
      <c r="B47" t="s">
        <v>629</v>
      </c>
      <c r="C47">
        <v>6</v>
      </c>
      <c r="D47">
        <v>-68.989999999999995</v>
      </c>
      <c r="E47">
        <v>0.18573430180549599</v>
      </c>
      <c r="F47">
        <v>0.87012410163879395</v>
      </c>
      <c r="G47">
        <v>2.8874421119689901</v>
      </c>
      <c r="H47">
        <v>15.6089744567871</v>
      </c>
      <c r="K47">
        <v>19.058573350700932</v>
      </c>
      <c r="L47">
        <v>102.61202785611127</v>
      </c>
      <c r="P47">
        <v>15.0860633850097</v>
      </c>
      <c r="Q47">
        <v>17.5510864257812</v>
      </c>
      <c r="R47">
        <v>17.780265808105401</v>
      </c>
      <c r="S47">
        <v>17.5173034667968</v>
      </c>
      <c r="T47">
        <v>17.2336921691894</v>
      </c>
      <c r="U47">
        <v>16.858798980712798</v>
      </c>
      <c r="V47">
        <v>15.7483673095703</v>
      </c>
      <c r="W47">
        <v>16.147838592529201</v>
      </c>
      <c r="X47">
        <v>15.620613098144499</v>
      </c>
      <c r="Y47">
        <v>15.5922241210937</v>
      </c>
      <c r="AA47">
        <v>1</v>
      </c>
      <c r="AB47">
        <v>1.1633973673490512</v>
      </c>
      <c r="AC47">
        <v>1.1785888309187937</v>
      </c>
      <c r="AD47">
        <v>1.1611580184796855</v>
      </c>
      <c r="AE47">
        <v>1.1423584622025185</v>
      </c>
      <c r="AF47">
        <v>1.11750816302844</v>
      </c>
      <c r="AG47">
        <v>1.04390170634035</v>
      </c>
      <c r="AH47">
        <v>1.0703811975610904</v>
      </c>
      <c r="AI47">
        <v>1.0354333466254659</v>
      </c>
      <c r="AJ47">
        <v>1.0335515451026773</v>
      </c>
    </row>
    <row r="48" spans="1:36" x14ac:dyDescent="0.25">
      <c r="B48" t="s">
        <v>630</v>
      </c>
      <c r="C48">
        <v>7</v>
      </c>
      <c r="D48">
        <v>-65.7</v>
      </c>
      <c r="E48">
        <v>0.17654916644096399</v>
      </c>
      <c r="F48">
        <v>0.96834141016006503</v>
      </c>
      <c r="G48">
        <v>2.1266202926635698</v>
      </c>
      <c r="H48">
        <v>13.758293151855399</v>
      </c>
      <c r="K48">
        <v>16.527047698901839</v>
      </c>
      <c r="L48">
        <v>93.611587253957907</v>
      </c>
      <c r="P48">
        <v>14.337276458740201</v>
      </c>
      <c r="Q48">
        <v>15.0461654663085</v>
      </c>
      <c r="R48">
        <v>16.180492401123001</v>
      </c>
      <c r="S48">
        <v>16.254756927490199</v>
      </c>
      <c r="T48">
        <v>15.6852569580078</v>
      </c>
      <c r="U48">
        <v>13.539226531982401</v>
      </c>
      <c r="V48">
        <v>14.177486419677701</v>
      </c>
      <c r="W48">
        <v>14.318534851074199</v>
      </c>
      <c r="X48">
        <v>13.5101776123046</v>
      </c>
      <c r="Y48">
        <v>13.591453552246</v>
      </c>
      <c r="AA48">
        <v>1</v>
      </c>
      <c r="AB48">
        <v>1.0494437705521227</v>
      </c>
      <c r="AC48">
        <v>1.1285610937117105</v>
      </c>
      <c r="AD48">
        <v>1.1337409147593771</v>
      </c>
      <c r="AE48">
        <v>1.0940192862393925</v>
      </c>
      <c r="AF48">
        <v>0.94433741101007385</v>
      </c>
      <c r="AG48">
        <v>0.98885492377005191</v>
      </c>
      <c r="AH48">
        <v>0.99869280558829032</v>
      </c>
      <c r="AI48">
        <v>0.94231129958218884</v>
      </c>
      <c r="AJ48">
        <v>0.94798015448467288</v>
      </c>
    </row>
    <row r="51" spans="5:12" x14ac:dyDescent="0.25">
      <c r="E51">
        <f>AVERAGE(E3:E12)</f>
        <v>0.23105290000000003</v>
      </c>
      <c r="K51">
        <f>AVERAGE(K3:K12)</f>
        <v>28.291000172956352</v>
      </c>
      <c r="L51">
        <f>AVERAGE(L3:L12)</f>
        <v>122.65918612869351</v>
      </c>
    </row>
    <row r="53" spans="5:12" x14ac:dyDescent="0.25">
      <c r="E53">
        <f>AVERAGE(E14:E19)</f>
        <v>0.30026533333333333</v>
      </c>
      <c r="K53">
        <f>AVERAGE(K14:K19)</f>
        <v>37.497414793085483</v>
      </c>
      <c r="L53">
        <f>AVERAGE(L14:L19)</f>
        <v>146.54529188724433</v>
      </c>
    </row>
    <row r="55" spans="5:12" x14ac:dyDescent="0.25">
      <c r="E55">
        <f>AVERAGE(E21:E27)</f>
        <v>0.24787885714285715</v>
      </c>
      <c r="K55">
        <f>AVERAGE(K21:K27)</f>
        <v>17.462128575491061</v>
      </c>
      <c r="L55">
        <f>AVERAGE(L21:L27)</f>
        <v>70.394637534222269</v>
      </c>
    </row>
    <row r="57" spans="5:12" x14ac:dyDescent="0.25">
      <c r="E57">
        <f>AVERAGE(E29:E40)</f>
        <v>0.22632155381143107</v>
      </c>
      <c r="K57">
        <f>AVERAGE(K29:K40)</f>
        <v>14.521175751334072</v>
      </c>
      <c r="L57">
        <f>AVERAGE(L29:L40)</f>
        <v>61.762190424478725</v>
      </c>
    </row>
    <row r="59" spans="5:12" x14ac:dyDescent="0.25">
      <c r="E59">
        <f>AVERAGE(E42:E48)</f>
        <v>0.19538323155471268</v>
      </c>
      <c r="K59">
        <f>AVERAGE(K42:K48)</f>
        <v>19.599914869412512</v>
      </c>
      <c r="L59">
        <f>AVERAGE(L42:L48)</f>
        <v>100.99991225669494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5596-9733-4284-B5FC-365902AE95E4}">
  <dimension ref="A1:L21"/>
  <sheetViews>
    <sheetView workbookViewId="0">
      <selection activeCell="A20" sqref="A20:XFD20"/>
    </sheetView>
  </sheetViews>
  <sheetFormatPr defaultRowHeight="15" x14ac:dyDescent="0.25"/>
  <cols>
    <col min="1" max="1" width="9.7109375" bestFit="1" customWidth="1"/>
  </cols>
  <sheetData>
    <row r="1" spans="1:12" x14ac:dyDescent="0.25">
      <c r="A1" s="4" t="s">
        <v>2</v>
      </c>
      <c r="B1" s="5"/>
    </row>
    <row r="2" spans="1:12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36</v>
      </c>
      <c r="G2" s="12" t="s">
        <v>553</v>
      </c>
      <c r="H2" s="7" t="s">
        <v>8</v>
      </c>
      <c r="I2" s="7" t="s">
        <v>36</v>
      </c>
      <c r="J2" s="12" t="s">
        <v>553</v>
      </c>
      <c r="K2" s="7" t="s">
        <v>9</v>
      </c>
      <c r="L2" s="7" t="s">
        <v>10</v>
      </c>
    </row>
    <row r="3" spans="1:12" x14ac:dyDescent="0.25">
      <c r="A3" s="9">
        <v>42573</v>
      </c>
      <c r="B3" t="s">
        <v>171</v>
      </c>
      <c r="C3">
        <v>1</v>
      </c>
      <c r="D3">
        <v>-76.22</v>
      </c>
      <c r="E3">
        <v>0.55381000000000002</v>
      </c>
      <c r="H3">
        <v>18.094000000000001</v>
      </c>
      <c r="K3">
        <f>H3/(1-(0.8*(H3/(ABS(D3)))))</f>
        <v>22.335883831512938</v>
      </c>
      <c r="L3">
        <f t="shared" ref="L3:L16" si="0">K3/E3</f>
        <v>40.331311878645991</v>
      </c>
    </row>
    <row r="4" spans="1:12" x14ac:dyDescent="0.25">
      <c r="B4" t="s">
        <v>172</v>
      </c>
      <c r="C4">
        <v>2</v>
      </c>
      <c r="D4">
        <v>-73.459999999999994</v>
      </c>
      <c r="E4">
        <v>0.22043499999999999</v>
      </c>
      <c r="H4">
        <v>14.370799999999999</v>
      </c>
      <c r="K4">
        <f>H4/(1-(0.8*(H4/(ABS(D4)))))</f>
        <v>17.03714853423055</v>
      </c>
      <c r="L4">
        <f t="shared" si="0"/>
        <v>77.288763282738898</v>
      </c>
    </row>
    <row r="5" spans="1:12" x14ac:dyDescent="0.25">
      <c r="B5" t="s">
        <v>173</v>
      </c>
      <c r="C5">
        <v>3</v>
      </c>
      <c r="D5">
        <v>-71.23</v>
      </c>
      <c r="E5">
        <v>0.25307800000000003</v>
      </c>
      <c r="H5">
        <v>19.1843</v>
      </c>
      <c r="K5">
        <f>H5/(1-(0.8*(H5/(ABS(D5)))))</f>
        <v>24.453025935103906</v>
      </c>
      <c r="L5">
        <f t="shared" si="0"/>
        <v>96.622487672195547</v>
      </c>
    </row>
    <row r="6" spans="1:12" x14ac:dyDescent="0.25">
      <c r="B6" t="s">
        <v>174</v>
      </c>
      <c r="C6">
        <v>4</v>
      </c>
      <c r="D6">
        <v>-73.08</v>
      </c>
      <c r="E6">
        <v>0.20672399999999999</v>
      </c>
      <c r="H6">
        <v>15.750500000000001</v>
      </c>
      <c r="K6">
        <f t="shared" ref="K6:K17" si="1">H6/(1-(0.8*(H6/(ABS(D6)))))</f>
        <v>19.031980039550529</v>
      </c>
      <c r="L6">
        <f t="shared" si="0"/>
        <v>92.064685472178027</v>
      </c>
    </row>
    <row r="7" spans="1:12" x14ac:dyDescent="0.25">
      <c r="B7" t="s">
        <v>175</v>
      </c>
      <c r="C7">
        <v>5</v>
      </c>
      <c r="D7">
        <v>-72.81</v>
      </c>
      <c r="E7">
        <v>0.192577</v>
      </c>
      <c r="H7">
        <v>17.417300000000001</v>
      </c>
      <c r="K7">
        <f t="shared" si="1"/>
        <v>21.539339742945195</v>
      </c>
      <c r="L7">
        <f t="shared" si="0"/>
        <v>111.84793481539953</v>
      </c>
    </row>
    <row r="8" spans="1:12" x14ac:dyDescent="0.25">
      <c r="B8" t="s">
        <v>176</v>
      </c>
      <c r="C8">
        <v>6</v>
      </c>
      <c r="D8">
        <v>-70.56</v>
      </c>
      <c r="E8">
        <v>0.25507200000000002</v>
      </c>
      <c r="H8">
        <v>16.600999999999999</v>
      </c>
      <c r="K8">
        <f t="shared" si="1"/>
        <v>20.450120811743179</v>
      </c>
      <c r="L8">
        <f t="shared" si="0"/>
        <v>80.173914862247429</v>
      </c>
    </row>
    <row r="9" spans="1:12" x14ac:dyDescent="0.25">
      <c r="B9" t="s">
        <v>177</v>
      </c>
      <c r="C9">
        <v>7</v>
      </c>
      <c r="D9">
        <v>-73.8</v>
      </c>
      <c r="E9">
        <v>0.38001499999999999</v>
      </c>
      <c r="H9">
        <v>25.586600000000001</v>
      </c>
      <c r="K9">
        <f t="shared" si="1"/>
        <v>35.407192702442423</v>
      </c>
      <c r="L9">
        <f t="shared" si="0"/>
        <v>93.173145013861088</v>
      </c>
    </row>
    <row r="10" spans="1:12" x14ac:dyDescent="0.25">
      <c r="B10" t="s">
        <v>178</v>
      </c>
      <c r="C10">
        <v>8</v>
      </c>
      <c r="D10">
        <v>-73.44</v>
      </c>
      <c r="E10">
        <v>0.195211</v>
      </c>
      <c r="H10">
        <v>19.232800000000001</v>
      </c>
      <c r="K10">
        <f t="shared" si="1"/>
        <v>24.330152465576734</v>
      </c>
      <c r="L10">
        <f t="shared" si="0"/>
        <v>124.63515101903445</v>
      </c>
    </row>
    <row r="11" spans="1:12" x14ac:dyDescent="0.25">
      <c r="B11" t="s">
        <v>179</v>
      </c>
      <c r="C11">
        <v>9</v>
      </c>
      <c r="D11">
        <v>-73.69</v>
      </c>
      <c r="E11">
        <v>0.237848</v>
      </c>
      <c r="H11">
        <v>17.639600000000002</v>
      </c>
      <c r="K11">
        <f t="shared" si="1"/>
        <v>21.817703553910217</v>
      </c>
      <c r="L11">
        <f t="shared" si="0"/>
        <v>91.729606950280086</v>
      </c>
    </row>
    <row r="12" spans="1:12" x14ac:dyDescent="0.25">
      <c r="B12" t="s">
        <v>180</v>
      </c>
      <c r="C12">
        <v>10</v>
      </c>
      <c r="D12">
        <v>-68.19</v>
      </c>
      <c r="E12">
        <v>0.229854</v>
      </c>
      <c r="H12">
        <v>17.7163</v>
      </c>
      <c r="K12">
        <f t="shared" si="1"/>
        <v>22.364725763908226</v>
      </c>
      <c r="L12">
        <f t="shared" si="0"/>
        <v>97.299702262776478</v>
      </c>
    </row>
    <row r="13" spans="1:12" x14ac:dyDescent="0.25">
      <c r="B13" t="s">
        <v>181</v>
      </c>
      <c r="C13">
        <v>11</v>
      </c>
      <c r="D13">
        <v>-72.61</v>
      </c>
      <c r="E13">
        <v>0.21278</v>
      </c>
      <c r="H13">
        <v>19.881799999999998</v>
      </c>
      <c r="K13">
        <f t="shared" si="1"/>
        <v>25.458578604613102</v>
      </c>
      <c r="L13">
        <f t="shared" si="0"/>
        <v>119.64742271178261</v>
      </c>
    </row>
    <row r="14" spans="1:12" s="11" customFormat="1" ht="20.25" thickBot="1" x14ac:dyDescent="0.35"/>
    <row r="15" spans="1:12" ht="15.75" thickTop="1" x14ac:dyDescent="0.25">
      <c r="A15" s="9">
        <v>42584</v>
      </c>
      <c r="B15" t="s">
        <v>182</v>
      </c>
      <c r="C15">
        <v>1</v>
      </c>
      <c r="D15">
        <v>-64.91</v>
      </c>
      <c r="E15">
        <v>0.227523</v>
      </c>
      <c r="H15">
        <v>17.195499999999999</v>
      </c>
      <c r="K15">
        <f t="shared" si="1"/>
        <v>21.819772313190075</v>
      </c>
      <c r="L15">
        <f t="shared" si="0"/>
        <v>95.901391565644246</v>
      </c>
    </row>
    <row r="16" spans="1:12" x14ac:dyDescent="0.25">
      <c r="B16" t="s">
        <v>183</v>
      </c>
      <c r="C16">
        <v>2</v>
      </c>
      <c r="D16">
        <v>-61.95</v>
      </c>
      <c r="E16">
        <v>0.19681100000000001</v>
      </c>
      <c r="H16">
        <v>13.201700000000001</v>
      </c>
      <c r="K16">
        <f t="shared" si="1"/>
        <v>15.914904831106643</v>
      </c>
      <c r="L16">
        <f t="shared" si="0"/>
        <v>80.863899025494717</v>
      </c>
    </row>
    <row r="17" spans="2:12" x14ac:dyDescent="0.25">
      <c r="B17" t="s">
        <v>184</v>
      </c>
      <c r="C17">
        <v>3</v>
      </c>
      <c r="D17">
        <v>-67.14</v>
      </c>
      <c r="E17">
        <v>0.186441</v>
      </c>
      <c r="H17">
        <v>14.4245</v>
      </c>
      <c r="K17">
        <f t="shared" si="1"/>
        <v>17.418236739304035</v>
      </c>
      <c r="L17">
        <f>K17/E17</f>
        <v>93.424926595030257</v>
      </c>
    </row>
    <row r="19" spans="2:12" x14ac:dyDescent="0.25">
      <c r="E19">
        <f>AVERAGE(E3:E13)</f>
        <v>0.26703672727272726</v>
      </c>
      <c r="K19">
        <f>AVERAGE(K3:K13)</f>
        <v>23.111441089594273</v>
      </c>
      <c r="L19">
        <f>AVERAGE(L3:L13)</f>
        <v>93.164920540103637</v>
      </c>
    </row>
    <row r="21" spans="2:12" x14ac:dyDescent="0.25">
      <c r="E21">
        <f>AVERAGE(E15:E17)</f>
        <v>0.20359166666666664</v>
      </c>
      <c r="K21">
        <f>AVERAGE(K15:K17)</f>
        <v>18.384304627866918</v>
      </c>
      <c r="L21">
        <f>AVERAGE(L15:L17)</f>
        <v>90.063405728723069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5022-C43F-4098-9B0E-D476719A0019}">
  <dimension ref="A1:L30"/>
  <sheetViews>
    <sheetView topLeftCell="A16" workbookViewId="0">
      <selection activeCell="A29" sqref="A29:XFD29"/>
    </sheetView>
  </sheetViews>
  <sheetFormatPr defaultRowHeight="15" x14ac:dyDescent="0.25"/>
  <cols>
    <col min="1" max="1" width="9.7109375" bestFit="1" customWidth="1"/>
  </cols>
  <sheetData>
    <row r="1" spans="1:12" x14ac:dyDescent="0.25">
      <c r="A1" s="4" t="s">
        <v>2</v>
      </c>
      <c r="B1" s="5"/>
    </row>
    <row r="2" spans="1:12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36</v>
      </c>
      <c r="G2" s="12" t="s">
        <v>553</v>
      </c>
      <c r="H2" s="7" t="s">
        <v>8</v>
      </c>
      <c r="I2" s="7" t="s">
        <v>36</v>
      </c>
      <c r="J2" s="12" t="s">
        <v>553</v>
      </c>
      <c r="K2" s="7" t="s">
        <v>9</v>
      </c>
      <c r="L2" s="7" t="s">
        <v>10</v>
      </c>
    </row>
    <row r="3" spans="1:12" x14ac:dyDescent="0.25">
      <c r="A3" s="9">
        <v>42606</v>
      </c>
      <c r="B3" t="s">
        <v>185</v>
      </c>
      <c r="C3">
        <v>1</v>
      </c>
      <c r="D3">
        <v>-63.25</v>
      </c>
      <c r="E3">
        <v>0.25930999999999998</v>
      </c>
      <c r="H3">
        <v>17.507200000000001</v>
      </c>
      <c r="K3">
        <f>H3/(1-(0.8*(H3/(ABS(D3)))))</f>
        <v>22.486495882564135</v>
      </c>
      <c r="L3">
        <f t="shared" ref="L3:L24" si="0">K3/E3</f>
        <v>86.716655287355437</v>
      </c>
    </row>
    <row r="4" spans="1:12" x14ac:dyDescent="0.25">
      <c r="B4" t="s">
        <v>186</v>
      </c>
      <c r="C4">
        <v>2</v>
      </c>
      <c r="D4">
        <v>-66.510000000000005</v>
      </c>
      <c r="E4">
        <v>0.43206</v>
      </c>
      <c r="H4">
        <v>21.418299999999999</v>
      </c>
      <c r="K4">
        <f>H4/(1-(0.8*(H4/(ABS(D4)))))</f>
        <v>28.851053096119195</v>
      </c>
      <c r="L4">
        <f t="shared" si="0"/>
        <v>66.775570745079833</v>
      </c>
    </row>
    <row r="5" spans="1:12" x14ac:dyDescent="0.25">
      <c r="B5" t="s">
        <v>187</v>
      </c>
      <c r="C5">
        <v>3</v>
      </c>
      <c r="D5">
        <v>-62.7</v>
      </c>
      <c r="E5">
        <v>0.31623000000000001</v>
      </c>
      <c r="H5">
        <v>23.7041</v>
      </c>
      <c r="K5">
        <f>H5/(1-(0.8*(H5/(ABS(D5)))))</f>
        <v>33.981676495173851</v>
      </c>
      <c r="L5">
        <f t="shared" si="0"/>
        <v>107.458737296189</v>
      </c>
    </row>
    <row r="6" spans="1:12" x14ac:dyDescent="0.25">
      <c r="B6" t="s">
        <v>188</v>
      </c>
      <c r="C6">
        <v>4</v>
      </c>
      <c r="D6">
        <v>-63.57</v>
      </c>
      <c r="E6">
        <v>0.33852399999999999</v>
      </c>
      <c r="H6">
        <v>18.788699999999999</v>
      </c>
      <c r="K6">
        <f t="shared" ref="K6:K25" si="1">H6/(1-(0.8*(H6/(ABS(D6)))))</f>
        <v>24.606948530502454</v>
      </c>
      <c r="L6">
        <f t="shared" si="0"/>
        <v>72.688933518753331</v>
      </c>
    </row>
    <row r="7" spans="1:12" x14ac:dyDescent="0.25">
      <c r="B7" t="s">
        <v>189</v>
      </c>
      <c r="C7">
        <v>5</v>
      </c>
      <c r="D7">
        <v>-69.66</v>
      </c>
      <c r="E7">
        <v>0.25905899999999998</v>
      </c>
      <c r="H7">
        <v>19.0441</v>
      </c>
      <c r="K7">
        <f t="shared" si="1"/>
        <v>24.375173744577832</v>
      </c>
      <c r="L7">
        <f t="shared" si="0"/>
        <v>94.091206036377173</v>
      </c>
    </row>
    <row r="8" spans="1:12" x14ac:dyDescent="0.25">
      <c r="B8" t="s">
        <v>190</v>
      </c>
      <c r="C8">
        <v>6</v>
      </c>
      <c r="D8">
        <v>-70.09</v>
      </c>
      <c r="E8">
        <v>0.197627</v>
      </c>
      <c r="H8">
        <v>12.9842</v>
      </c>
      <c r="K8">
        <f t="shared" si="1"/>
        <v>15.243255206134936</v>
      </c>
      <c r="L8">
        <f t="shared" si="0"/>
        <v>77.131440573074201</v>
      </c>
    </row>
    <row r="9" spans="1:12" s="11" customFormat="1" ht="20.25" thickBot="1" x14ac:dyDescent="0.35"/>
    <row r="10" spans="1:12" ht="15.75" thickTop="1" x14ac:dyDescent="0.25">
      <c r="A10" s="9">
        <v>42607</v>
      </c>
      <c r="B10" t="s">
        <v>191</v>
      </c>
      <c r="C10">
        <v>7</v>
      </c>
      <c r="D10">
        <v>-73.56</v>
      </c>
      <c r="E10">
        <v>0.291271</v>
      </c>
      <c r="H10">
        <v>22.977499999999999</v>
      </c>
      <c r="K10">
        <f t="shared" si="1"/>
        <v>30.632224799739021</v>
      </c>
      <c r="L10">
        <f t="shared" si="0"/>
        <v>105.16743788341105</v>
      </c>
    </row>
    <row r="11" spans="1:12" x14ac:dyDescent="0.25">
      <c r="B11" t="s">
        <v>192</v>
      </c>
      <c r="C11">
        <v>8</v>
      </c>
      <c r="D11">
        <v>-76.14</v>
      </c>
      <c r="E11">
        <v>0.30051499999999998</v>
      </c>
      <c r="H11">
        <v>23.840699999999998</v>
      </c>
      <c r="K11">
        <f t="shared" si="1"/>
        <v>31.808521601810064</v>
      </c>
      <c r="L11">
        <f t="shared" si="0"/>
        <v>105.84670183455091</v>
      </c>
    </row>
    <row r="12" spans="1:12" x14ac:dyDescent="0.25">
      <c r="B12" t="s">
        <v>193</v>
      </c>
      <c r="C12">
        <v>9</v>
      </c>
      <c r="D12">
        <v>-89.27</v>
      </c>
      <c r="E12">
        <v>0.32766099999999998</v>
      </c>
      <c r="H12">
        <v>23.076899999999998</v>
      </c>
      <c r="K12">
        <f t="shared" si="1"/>
        <v>29.093617925423622</v>
      </c>
      <c r="L12">
        <f t="shared" si="0"/>
        <v>88.791824249525035</v>
      </c>
    </row>
    <row r="13" spans="1:12" x14ac:dyDescent="0.25">
      <c r="B13" t="s">
        <v>194</v>
      </c>
      <c r="C13">
        <v>10</v>
      </c>
      <c r="D13">
        <v>-70.790000000000006</v>
      </c>
      <c r="E13">
        <v>0.27550400000000003</v>
      </c>
      <c r="H13">
        <v>17.581600000000002</v>
      </c>
      <c r="K13">
        <f t="shared" si="1"/>
        <v>21.941077258733056</v>
      </c>
      <c r="L13">
        <f t="shared" si="0"/>
        <v>79.639777494094659</v>
      </c>
    </row>
    <row r="14" spans="1:12" x14ac:dyDescent="0.25">
      <c r="B14" t="s">
        <v>195</v>
      </c>
      <c r="C14">
        <v>11</v>
      </c>
      <c r="D14">
        <v>-69.040000000000006</v>
      </c>
      <c r="E14">
        <v>0.32003700000000002</v>
      </c>
      <c r="H14">
        <v>25.635899999999999</v>
      </c>
      <c r="K14">
        <f t="shared" si="1"/>
        <v>36.46931496552326</v>
      </c>
      <c r="L14">
        <f t="shared" si="0"/>
        <v>113.95343340152313</v>
      </c>
    </row>
    <row r="15" spans="1:12" x14ac:dyDescent="0.25">
      <c r="B15" t="s">
        <v>196</v>
      </c>
      <c r="C15">
        <v>12</v>
      </c>
      <c r="D15">
        <v>-67.709999999999994</v>
      </c>
      <c r="E15">
        <v>0.22678799999999999</v>
      </c>
      <c r="H15">
        <v>23.200099999999999</v>
      </c>
      <c r="K15">
        <f t="shared" si="1"/>
        <v>31.960962927304866</v>
      </c>
      <c r="L15">
        <f t="shared" si="0"/>
        <v>140.92880984578051</v>
      </c>
    </row>
    <row r="16" spans="1:12" x14ac:dyDescent="0.25">
      <c r="B16" t="s">
        <v>197</v>
      </c>
      <c r="C16">
        <v>13</v>
      </c>
      <c r="D16">
        <v>-68.47</v>
      </c>
      <c r="E16">
        <v>0.20558299999999999</v>
      </c>
      <c r="H16">
        <v>17.998699999999999</v>
      </c>
      <c r="K16">
        <f t="shared" si="1"/>
        <v>22.79170123230476</v>
      </c>
      <c r="L16">
        <f t="shared" si="0"/>
        <v>110.86374472745685</v>
      </c>
    </row>
    <row r="17" spans="2:12" x14ac:dyDescent="0.25">
      <c r="B17" t="s">
        <v>198</v>
      </c>
      <c r="C17">
        <v>14</v>
      </c>
      <c r="D17">
        <v>-69.98</v>
      </c>
      <c r="E17">
        <v>0.24479600000000001</v>
      </c>
      <c r="H17">
        <v>21.1067</v>
      </c>
      <c r="K17">
        <f t="shared" si="1"/>
        <v>27.819133268442918</v>
      </c>
      <c r="L17">
        <f t="shared" si="0"/>
        <v>113.64210717676318</v>
      </c>
    </row>
    <row r="18" spans="2:12" x14ac:dyDescent="0.25">
      <c r="B18" t="s">
        <v>199</v>
      </c>
      <c r="C18">
        <v>15</v>
      </c>
      <c r="D18">
        <v>-71</v>
      </c>
      <c r="E18">
        <v>0.19320899999999999</v>
      </c>
      <c r="H18">
        <v>17.455300000000001</v>
      </c>
      <c r="K18">
        <f t="shared" si="1"/>
        <v>21.728934619263423</v>
      </c>
      <c r="L18">
        <f t="shared" si="0"/>
        <v>112.46336671305905</v>
      </c>
    </row>
    <row r="19" spans="2:12" x14ac:dyDescent="0.25">
      <c r="B19" t="s">
        <v>200</v>
      </c>
      <c r="C19">
        <v>16</v>
      </c>
      <c r="D19">
        <v>-79.430000000000007</v>
      </c>
      <c r="E19">
        <v>0.18684799999999999</v>
      </c>
      <c r="H19">
        <v>14.652699999999999</v>
      </c>
      <c r="K19">
        <f t="shared" si="1"/>
        <v>17.189500669346415</v>
      </c>
      <c r="L19">
        <f t="shared" si="0"/>
        <v>91.997241979290209</v>
      </c>
    </row>
    <row r="20" spans="2:12" x14ac:dyDescent="0.25">
      <c r="B20" t="s">
        <v>201</v>
      </c>
      <c r="C20">
        <v>17</v>
      </c>
      <c r="D20">
        <v>-65.63</v>
      </c>
      <c r="E20">
        <v>0.22663900000000001</v>
      </c>
      <c r="H20">
        <v>20.8218</v>
      </c>
      <c r="K20">
        <f t="shared" si="1"/>
        <v>27.90409024972352</v>
      </c>
      <c r="L20">
        <f t="shared" si="0"/>
        <v>123.12130855555981</v>
      </c>
    </row>
    <row r="21" spans="2:12" x14ac:dyDescent="0.25">
      <c r="B21" t="s">
        <v>202</v>
      </c>
      <c r="C21">
        <v>18</v>
      </c>
      <c r="D21">
        <v>-67.989999999999995</v>
      </c>
      <c r="E21">
        <v>0.171318</v>
      </c>
      <c r="H21">
        <v>14.6478</v>
      </c>
      <c r="K21">
        <f t="shared" si="1"/>
        <v>17.698112196952788</v>
      </c>
      <c r="L21">
        <f t="shared" si="0"/>
        <v>103.3056199404195</v>
      </c>
    </row>
    <row r="22" spans="2:12" x14ac:dyDescent="0.25">
      <c r="B22" t="s">
        <v>203</v>
      </c>
      <c r="C22">
        <v>19</v>
      </c>
      <c r="D22">
        <v>-64.540000000000006</v>
      </c>
      <c r="E22">
        <v>0.228463</v>
      </c>
      <c r="H22">
        <v>18.355799999999999</v>
      </c>
      <c r="K22">
        <f t="shared" si="1"/>
        <v>23.76240652960885</v>
      </c>
      <c r="L22">
        <f t="shared" si="0"/>
        <v>104.009868248289</v>
      </c>
    </row>
    <row r="23" spans="2:12" x14ac:dyDescent="0.25">
      <c r="B23" t="s">
        <v>204</v>
      </c>
      <c r="C23">
        <v>20</v>
      </c>
      <c r="D23">
        <v>-64.84</v>
      </c>
      <c r="E23">
        <v>0.162745</v>
      </c>
      <c r="H23">
        <v>11.3249</v>
      </c>
      <c r="K23">
        <f t="shared" si="1"/>
        <v>13.16431450080387</v>
      </c>
      <c r="L23">
        <f t="shared" si="0"/>
        <v>80.88921011892144</v>
      </c>
    </row>
    <row r="24" spans="2:12" x14ac:dyDescent="0.25">
      <c r="B24" t="s">
        <v>205</v>
      </c>
      <c r="C24">
        <v>21</v>
      </c>
      <c r="D24">
        <v>-68.55</v>
      </c>
      <c r="E24">
        <v>0.20879</v>
      </c>
      <c r="H24">
        <v>20.414899999999999</v>
      </c>
      <c r="K24">
        <f t="shared" si="1"/>
        <v>26.799939695216676</v>
      </c>
      <c r="L24">
        <f t="shared" si="0"/>
        <v>128.35834903595324</v>
      </c>
    </row>
    <row r="25" spans="2:12" x14ac:dyDescent="0.25">
      <c r="B25" t="s">
        <v>206</v>
      </c>
      <c r="C25">
        <v>22</v>
      </c>
      <c r="D25">
        <v>-75.739999999999995</v>
      </c>
      <c r="E25">
        <v>0.25245299999999998</v>
      </c>
      <c r="H25">
        <v>16.7773</v>
      </c>
      <c r="K25">
        <f t="shared" si="1"/>
        <v>20.390728834099082</v>
      </c>
      <c r="L25">
        <f>K25/E25</f>
        <v>80.770396208795631</v>
      </c>
    </row>
    <row r="28" spans="2:12" x14ac:dyDescent="0.25">
      <c r="E28">
        <f>AVERAGE(E3:E8)</f>
        <v>0.30046833333333334</v>
      </c>
      <c r="K28">
        <f>AVERAGE(K3:K8)</f>
        <v>24.924100492512068</v>
      </c>
      <c r="L28">
        <f>AVERAGE(L3:L8)</f>
        <v>84.143757242804824</v>
      </c>
    </row>
    <row r="30" spans="2:12" x14ac:dyDescent="0.25">
      <c r="E30">
        <f>AVERAGE(E10:E25)</f>
        <v>0.23891374999999998</v>
      </c>
      <c r="K30">
        <f>AVERAGE(K10:K25)</f>
        <v>25.07216132964351</v>
      </c>
      <c r="L30">
        <f>AVERAGE(L10:L25)</f>
        <v>105.23432483833707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EE06-6F42-402F-8B13-41CF1210677D}">
  <dimension ref="A1:S16"/>
  <sheetViews>
    <sheetView workbookViewId="0">
      <selection activeCell="O15" sqref="O15"/>
    </sheetView>
  </sheetViews>
  <sheetFormatPr defaultRowHeight="15" x14ac:dyDescent="0.25"/>
  <cols>
    <col min="1" max="1" width="10.7109375" bestFit="1" customWidth="1"/>
  </cols>
  <sheetData>
    <row r="1" spans="1:19" x14ac:dyDescent="0.25">
      <c r="A1" s="4" t="s">
        <v>2</v>
      </c>
      <c r="B1" s="5"/>
      <c r="O1" s="6"/>
    </row>
    <row r="2" spans="1:19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36</v>
      </c>
      <c r="G2" s="12" t="s">
        <v>553</v>
      </c>
      <c r="H2" s="7" t="s">
        <v>8</v>
      </c>
      <c r="I2" s="7" t="s">
        <v>36</v>
      </c>
      <c r="J2" s="12" t="s">
        <v>553</v>
      </c>
      <c r="K2" s="7" t="s">
        <v>9</v>
      </c>
      <c r="L2" s="7" t="s">
        <v>10</v>
      </c>
      <c r="M2" s="7" t="s">
        <v>11</v>
      </c>
      <c r="N2" s="12"/>
      <c r="O2" s="7"/>
      <c r="P2" s="7"/>
      <c r="Q2" s="7"/>
      <c r="R2" s="7"/>
      <c r="S2" s="7"/>
    </row>
    <row r="3" spans="1:19" x14ac:dyDescent="0.25">
      <c r="A3" s="9">
        <v>42661</v>
      </c>
      <c r="B3" t="s">
        <v>208</v>
      </c>
      <c r="C3">
        <v>1</v>
      </c>
      <c r="D3">
        <v>-65.3</v>
      </c>
      <c r="E3">
        <v>0.31425500000000001</v>
      </c>
      <c r="H3">
        <v>29.0322</v>
      </c>
      <c r="K3">
        <f>H3/(1-(0.8*(H3/(ABS(D3)))))</f>
        <v>45.058512286852952</v>
      </c>
      <c r="L3">
        <f t="shared" ref="L3:L14" si="0">K3/E3</f>
        <v>143.3820059723885</v>
      </c>
    </row>
    <row r="4" spans="1:19" x14ac:dyDescent="0.25">
      <c r="B4" t="s">
        <v>209</v>
      </c>
      <c r="C4">
        <v>2</v>
      </c>
      <c r="D4">
        <v>-73.38</v>
      </c>
      <c r="E4">
        <v>0.29662100000000002</v>
      </c>
      <c r="H4">
        <v>22.919799999999999</v>
      </c>
      <c r="K4">
        <f>H4/(1-(0.8*(H4/(ABS(D4)))))</f>
        <v>30.554647831849916</v>
      </c>
      <c r="L4">
        <f t="shared" si="0"/>
        <v>103.00905138830331</v>
      </c>
    </row>
    <row r="5" spans="1:19" x14ac:dyDescent="0.25">
      <c r="B5" t="s">
        <v>210</v>
      </c>
      <c r="C5">
        <v>3</v>
      </c>
      <c r="D5">
        <v>-70.05</v>
      </c>
      <c r="E5">
        <v>0.37834600000000002</v>
      </c>
      <c r="H5">
        <v>27.234200000000001</v>
      </c>
      <c r="K5">
        <f>H5/(1-(0.8*(H5/(ABS(D5)))))</f>
        <v>39.528623175193076</v>
      </c>
      <c r="L5">
        <f t="shared" si="0"/>
        <v>104.47744439003736</v>
      </c>
    </row>
    <row r="6" spans="1:19" x14ac:dyDescent="0.25">
      <c r="B6" t="s">
        <v>211</v>
      </c>
      <c r="C6">
        <v>4</v>
      </c>
      <c r="D6">
        <v>-78.34</v>
      </c>
      <c r="E6">
        <v>0.218641</v>
      </c>
      <c r="H6">
        <v>19.472999999999999</v>
      </c>
      <c r="K6">
        <f t="shared" ref="K6:K14" si="1">H6/(1-(0.8*(H6/(ABS(D6)))))</f>
        <v>24.306499834293579</v>
      </c>
      <c r="L6">
        <f t="shared" si="0"/>
        <v>111.17082264668373</v>
      </c>
    </row>
    <row r="7" spans="1:19" x14ac:dyDescent="0.25">
      <c r="B7" t="s">
        <v>212</v>
      </c>
      <c r="C7">
        <v>5</v>
      </c>
      <c r="D7">
        <v>-86.35</v>
      </c>
      <c r="E7">
        <v>0.22634399999999999</v>
      </c>
      <c r="H7">
        <v>13.7569</v>
      </c>
      <c r="K7">
        <f t="shared" si="1"/>
        <v>15.766361583489592</v>
      </c>
      <c r="L7">
        <f t="shared" si="0"/>
        <v>69.656635844067409</v>
      </c>
    </row>
    <row r="8" spans="1:19" x14ac:dyDescent="0.25">
      <c r="B8" t="s">
        <v>213</v>
      </c>
      <c r="C8">
        <v>6</v>
      </c>
      <c r="D8">
        <v>-81.81</v>
      </c>
      <c r="E8">
        <v>0.15951199999999999</v>
      </c>
      <c r="H8">
        <v>12.6973</v>
      </c>
      <c r="K8">
        <f t="shared" si="1"/>
        <v>14.49734541149911</v>
      </c>
      <c r="L8">
        <f t="shared" si="0"/>
        <v>90.885609932162538</v>
      </c>
    </row>
    <row r="9" spans="1:19" x14ac:dyDescent="0.25">
      <c r="B9" t="s">
        <v>214</v>
      </c>
      <c r="C9">
        <v>7</v>
      </c>
      <c r="D9">
        <v>-73.39</v>
      </c>
      <c r="E9">
        <v>0.17386599999999999</v>
      </c>
      <c r="H9">
        <v>16.660799999999998</v>
      </c>
      <c r="K9">
        <f t="shared" si="1"/>
        <v>20.358115633745221</v>
      </c>
      <c r="L9">
        <f t="shared" si="0"/>
        <v>117.09083796570475</v>
      </c>
    </row>
    <row r="10" spans="1:19" x14ac:dyDescent="0.25">
      <c r="B10" t="s">
        <v>215</v>
      </c>
      <c r="C10">
        <v>8</v>
      </c>
      <c r="D10">
        <v>-71.45</v>
      </c>
      <c r="E10">
        <v>0.14489299999999999</v>
      </c>
      <c r="H10">
        <v>12.662800000000001</v>
      </c>
      <c r="K10">
        <f t="shared" si="1"/>
        <v>14.754739092259983</v>
      </c>
      <c r="L10">
        <f t="shared" si="0"/>
        <v>101.83196629416179</v>
      </c>
    </row>
    <row r="11" spans="1:19" x14ac:dyDescent="0.25">
      <c r="B11" t="s">
        <v>216</v>
      </c>
      <c r="C11">
        <v>9</v>
      </c>
      <c r="D11">
        <v>-72.47</v>
      </c>
      <c r="E11">
        <v>0.144062</v>
      </c>
      <c r="H11">
        <v>14.5863</v>
      </c>
      <c r="K11">
        <f t="shared" si="1"/>
        <v>17.385731425951167</v>
      </c>
      <c r="L11">
        <f t="shared" si="0"/>
        <v>120.68228558503399</v>
      </c>
    </row>
    <row r="12" spans="1:19" x14ac:dyDescent="0.25">
      <c r="B12" t="s">
        <v>217</v>
      </c>
      <c r="C12">
        <v>10</v>
      </c>
      <c r="D12">
        <v>-79.680000000000007</v>
      </c>
      <c r="E12">
        <v>0.43600299999999997</v>
      </c>
      <c r="H12">
        <v>30.490400000000001</v>
      </c>
      <c r="K12">
        <f t="shared" si="1"/>
        <v>43.942431152835496</v>
      </c>
      <c r="L12">
        <f t="shared" si="0"/>
        <v>100.78469907967491</v>
      </c>
    </row>
    <row r="13" spans="1:19" x14ac:dyDescent="0.25">
      <c r="B13" t="s">
        <v>218</v>
      </c>
      <c r="C13">
        <v>11</v>
      </c>
      <c r="D13">
        <v>-71.010000000000005</v>
      </c>
      <c r="E13">
        <v>0.16627400000000001</v>
      </c>
      <c r="H13">
        <v>12.208299999999999</v>
      </c>
      <c r="K13">
        <f t="shared" si="1"/>
        <v>14.155189770776783</v>
      </c>
      <c r="L13">
        <f t="shared" si="0"/>
        <v>85.131708930901894</v>
      </c>
    </row>
    <row r="14" spans="1:19" x14ac:dyDescent="0.25">
      <c r="B14" t="s">
        <v>219</v>
      </c>
      <c r="C14">
        <v>12</v>
      </c>
      <c r="D14">
        <v>-72.41</v>
      </c>
      <c r="E14">
        <v>0.23896800000000001</v>
      </c>
      <c r="H14">
        <v>23.300699999999999</v>
      </c>
      <c r="K14">
        <f t="shared" si="1"/>
        <v>31.378487241079689</v>
      </c>
      <c r="L14">
        <f t="shared" si="0"/>
        <v>131.30832262512004</v>
      </c>
    </row>
    <row r="16" spans="1:19" x14ac:dyDescent="0.25">
      <c r="E16">
        <f>AVERAGE(E3:E14)</f>
        <v>0.24148208333333332</v>
      </c>
      <c r="K16">
        <f>AVERAGE(K3:K14)</f>
        <v>25.973890369985551</v>
      </c>
      <c r="L16">
        <f>AVERAGE(L3:L14)</f>
        <v>106.61761588785335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D0E8-7C92-47CD-AAD5-AC893F9B24E6}">
  <dimension ref="A1:O17"/>
  <sheetViews>
    <sheetView workbookViewId="0">
      <selection activeCell="K19" sqref="K19"/>
    </sheetView>
  </sheetViews>
  <sheetFormatPr defaultRowHeight="15" x14ac:dyDescent="0.25"/>
  <cols>
    <col min="1" max="1" width="10.7109375" bestFit="1" customWidth="1"/>
  </cols>
  <sheetData>
    <row r="1" spans="1:15" x14ac:dyDescent="0.25">
      <c r="A1" s="4" t="s">
        <v>2</v>
      </c>
      <c r="B1" s="5"/>
      <c r="K1" s="6"/>
    </row>
    <row r="2" spans="1:15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12" t="s">
        <v>207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</row>
    <row r="3" spans="1:15" x14ac:dyDescent="0.25">
      <c r="A3" s="9">
        <v>42655</v>
      </c>
      <c r="B3" t="s">
        <v>220</v>
      </c>
      <c r="C3">
        <v>1</v>
      </c>
      <c r="D3">
        <v>-77.33</v>
      </c>
      <c r="E3">
        <v>0.15335599999999999</v>
      </c>
      <c r="F3">
        <v>13.4208</v>
      </c>
      <c r="G3">
        <f t="shared" ref="G3:G12" si="0">F3/(1-(0.8*(F3/(ABS(D3)))))</f>
        <v>15.584593779319741</v>
      </c>
      <c r="H3">
        <f t="shared" ref="H3:H11" si="1">G3/E3</f>
        <v>101.62363245859139</v>
      </c>
    </row>
    <row r="4" spans="1:15" x14ac:dyDescent="0.25">
      <c r="B4" t="s">
        <v>221</v>
      </c>
      <c r="C4">
        <v>7</v>
      </c>
      <c r="D4">
        <v>-64.5</v>
      </c>
      <c r="E4">
        <v>0.18509500000000001</v>
      </c>
      <c r="F4">
        <v>17.819900000000001</v>
      </c>
      <c r="G4">
        <f t="shared" si="0"/>
        <v>22.875999520739558</v>
      </c>
      <c r="H4">
        <f t="shared" si="1"/>
        <v>123.59058602738895</v>
      </c>
    </row>
    <row r="5" spans="1:15" x14ac:dyDescent="0.25">
      <c r="B5" t="s">
        <v>222</v>
      </c>
      <c r="C5">
        <v>2</v>
      </c>
      <c r="D5">
        <v>-78.680000000000007</v>
      </c>
      <c r="E5">
        <v>0.127415</v>
      </c>
      <c r="F5">
        <v>11.5969</v>
      </c>
      <c r="G5">
        <f t="shared" si="0"/>
        <v>13.147139583484623</v>
      </c>
      <c r="H5">
        <f t="shared" si="1"/>
        <v>103.18360933551484</v>
      </c>
      <c r="J5" t="s">
        <v>223</v>
      </c>
      <c r="K5">
        <v>-61.87</v>
      </c>
      <c r="L5">
        <v>0.116591</v>
      </c>
      <c r="M5">
        <v>9.8600899999999996</v>
      </c>
      <c r="N5">
        <f t="shared" ref="N5:N12" si="2">M5/(1-(0.8*(M5/(ABS(K5)))))</f>
        <v>11.300888851172562</v>
      </c>
      <c r="O5">
        <f t="shared" ref="O5:O12" si="3">N5/L5</f>
        <v>96.927626070387618</v>
      </c>
    </row>
    <row r="6" spans="1:15" x14ac:dyDescent="0.25">
      <c r="B6" t="s">
        <v>224</v>
      </c>
      <c r="C6">
        <v>3</v>
      </c>
      <c r="D6">
        <v>-68.86</v>
      </c>
      <c r="E6">
        <v>7.8885700000000003E-2</v>
      </c>
      <c r="F6">
        <v>5.6514199999999999</v>
      </c>
      <c r="G6">
        <f t="shared" si="0"/>
        <v>6.0485491506346767</v>
      </c>
      <c r="H6">
        <f t="shared" si="1"/>
        <v>76.674849188568729</v>
      </c>
      <c r="J6" t="s">
        <v>225</v>
      </c>
      <c r="K6">
        <v>-64.27</v>
      </c>
      <c r="L6">
        <v>0.40970800000000002</v>
      </c>
      <c r="M6">
        <v>14.7629</v>
      </c>
      <c r="N6">
        <f t="shared" si="2"/>
        <v>18.086492006813614</v>
      </c>
      <c r="O6">
        <f t="shared" si="3"/>
        <v>44.144834874626838</v>
      </c>
    </row>
    <row r="7" spans="1:15" x14ac:dyDescent="0.25">
      <c r="B7" t="s">
        <v>226</v>
      </c>
      <c r="C7">
        <v>4</v>
      </c>
      <c r="D7">
        <v>-69.290000000000006</v>
      </c>
      <c r="E7">
        <v>0.16282199999999999</v>
      </c>
      <c r="F7">
        <v>14.1968</v>
      </c>
      <c r="G7">
        <f t="shared" si="0"/>
        <v>16.980024221266934</v>
      </c>
      <c r="H7">
        <f t="shared" si="1"/>
        <v>104.28581040195388</v>
      </c>
      <c r="J7" t="s">
        <v>227</v>
      </c>
      <c r="K7">
        <v>-60.6</v>
      </c>
      <c r="L7">
        <v>0.13685</v>
      </c>
      <c r="M7">
        <v>13.031499999999999</v>
      </c>
      <c r="N7">
        <f t="shared" si="2"/>
        <v>15.73915391790301</v>
      </c>
      <c r="O7">
        <f t="shared" si="3"/>
        <v>115.01025880820615</v>
      </c>
    </row>
    <row r="8" spans="1:15" x14ac:dyDescent="0.25">
      <c r="B8" t="s">
        <v>228</v>
      </c>
      <c r="C8">
        <v>5</v>
      </c>
      <c r="D8">
        <v>-70.150000000000006</v>
      </c>
      <c r="E8">
        <v>0.207397</v>
      </c>
      <c r="F8">
        <v>12.2216</v>
      </c>
      <c r="G8">
        <f t="shared" si="0"/>
        <v>14.200871519454482</v>
      </c>
      <c r="H8">
        <f t="shared" si="1"/>
        <v>68.471923506388634</v>
      </c>
      <c r="J8" t="s">
        <v>229</v>
      </c>
      <c r="K8">
        <v>-60.96</v>
      </c>
      <c r="L8">
        <v>0.19872899999999999</v>
      </c>
      <c r="M8">
        <v>16.3156</v>
      </c>
      <c r="N8">
        <f t="shared" si="2"/>
        <v>20.760811162840405</v>
      </c>
      <c r="O8">
        <f t="shared" si="3"/>
        <v>104.46794963412691</v>
      </c>
    </row>
    <row r="9" spans="1:15" x14ac:dyDescent="0.25">
      <c r="B9" t="s">
        <v>230</v>
      </c>
      <c r="C9">
        <v>6</v>
      </c>
      <c r="D9">
        <v>-68.86</v>
      </c>
      <c r="E9">
        <v>0.17679500000000001</v>
      </c>
      <c r="F9">
        <v>13.6067</v>
      </c>
      <c r="G9">
        <f t="shared" si="0"/>
        <v>16.161503754055222</v>
      </c>
      <c r="H9">
        <f t="shared" si="1"/>
        <v>91.413805560424336</v>
      </c>
      <c r="J9" t="s">
        <v>231</v>
      </c>
      <c r="K9">
        <v>-65.75</v>
      </c>
      <c r="L9">
        <v>0.15327199999999999</v>
      </c>
      <c r="M9">
        <v>14.913399999999999</v>
      </c>
      <c r="N9">
        <f t="shared" si="2"/>
        <v>18.219419694949469</v>
      </c>
      <c r="O9">
        <f t="shared" si="3"/>
        <v>118.8698502984855</v>
      </c>
    </row>
    <row r="10" spans="1:15" x14ac:dyDescent="0.25">
      <c r="B10" t="s">
        <v>232</v>
      </c>
      <c r="C10">
        <v>8</v>
      </c>
      <c r="D10">
        <v>-67.12</v>
      </c>
      <c r="E10">
        <v>0.47137600000000002</v>
      </c>
      <c r="F10">
        <v>32.060600000000001</v>
      </c>
      <c r="G10">
        <f t="shared" si="0"/>
        <v>51.888801567919387</v>
      </c>
      <c r="H10">
        <f t="shared" si="1"/>
        <v>110.07943036539702</v>
      </c>
      <c r="J10" t="s">
        <v>233</v>
      </c>
      <c r="K10">
        <v>-58.19</v>
      </c>
      <c r="L10">
        <v>0.63664399999999999</v>
      </c>
      <c r="M10">
        <v>37.566800000000001</v>
      </c>
      <c r="N10">
        <f t="shared" si="2"/>
        <v>77.692940857020204</v>
      </c>
      <c r="O10">
        <f t="shared" si="3"/>
        <v>122.03514186424471</v>
      </c>
    </row>
    <row r="11" spans="1:15" x14ac:dyDescent="0.25">
      <c r="B11" t="s">
        <v>234</v>
      </c>
      <c r="C11">
        <v>9</v>
      </c>
      <c r="D11">
        <v>-70.099999999999994</v>
      </c>
      <c r="E11">
        <v>0.16634399999999999</v>
      </c>
      <c r="F11">
        <v>6.2694900000000002</v>
      </c>
      <c r="G11">
        <f t="shared" si="0"/>
        <v>6.7526349628931097</v>
      </c>
      <c r="H11">
        <f t="shared" si="1"/>
        <v>40.594400536797899</v>
      </c>
      <c r="J11" t="s">
        <v>235</v>
      </c>
      <c r="K11">
        <v>-68.290000000000006</v>
      </c>
      <c r="L11">
        <v>0.16540199999999999</v>
      </c>
      <c r="M11">
        <v>8.2992299999999997</v>
      </c>
      <c r="N11">
        <f t="shared" si="2"/>
        <v>9.1930049279637363</v>
      </c>
      <c r="O11">
        <f t="shared" si="3"/>
        <v>55.579768853845401</v>
      </c>
    </row>
    <row r="12" spans="1:15" x14ac:dyDescent="0.25">
      <c r="B12" t="s">
        <v>236</v>
      </c>
      <c r="C12">
        <v>10</v>
      </c>
      <c r="D12">
        <v>-76.11</v>
      </c>
      <c r="E12">
        <v>0.22468199999999999</v>
      </c>
      <c r="F12">
        <v>19.2029</v>
      </c>
      <c r="G12">
        <f t="shared" si="0"/>
        <v>24.059070552159355</v>
      </c>
      <c r="H12">
        <f>G12/E12</f>
        <v>107.08054295475097</v>
      </c>
      <c r="J12" t="s">
        <v>237</v>
      </c>
      <c r="K12">
        <v>-63.11</v>
      </c>
      <c r="L12">
        <v>0.26833299999999999</v>
      </c>
      <c r="M12">
        <v>25.7879</v>
      </c>
      <c r="N12">
        <f t="shared" si="2"/>
        <v>38.311832127737311</v>
      </c>
      <c r="O12">
        <f t="shared" si="3"/>
        <v>142.77719150360676</v>
      </c>
    </row>
    <row r="14" spans="1:15" x14ac:dyDescent="0.25">
      <c r="A14" t="s">
        <v>238</v>
      </c>
    </row>
    <row r="17" spans="5:15" x14ac:dyDescent="0.25">
      <c r="E17">
        <f>AVERAGE(E3:E12)</f>
        <v>0.19541677000000002</v>
      </c>
      <c r="G17">
        <f>AVERAGE(G3:G12)</f>
        <v>18.769918861192707</v>
      </c>
      <c r="H17">
        <f>AVERAGE(H3:H12)</f>
        <v>92.699859033577667</v>
      </c>
      <c r="L17">
        <f>AVERAGE(L5:L12)</f>
        <v>0.26069112500000002</v>
      </c>
      <c r="N17">
        <f>AVERAGE(N5:N12)</f>
        <v>26.163067943300039</v>
      </c>
      <c r="O17">
        <f>AVERAGE(O5:O12)</f>
        <v>99.976577738441236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23"/>
  <sheetViews>
    <sheetView topLeftCell="B1" workbookViewId="0">
      <selection activeCell="AR29" sqref="AR29"/>
    </sheetView>
  </sheetViews>
  <sheetFormatPr defaultRowHeight="15" x14ac:dyDescent="0.25"/>
  <cols>
    <col min="1" max="1" width="16.85546875" customWidth="1"/>
    <col min="2" max="2" width="4.42578125" bestFit="1" customWidth="1"/>
    <col min="3" max="11" width="2" bestFit="1" customWidth="1"/>
    <col min="12" max="39" width="3" bestFit="1" customWidth="1"/>
    <col min="40" max="41" width="3" customWidth="1"/>
    <col min="42" max="42" width="22.85546875" bestFit="1" customWidth="1"/>
    <col min="43" max="43" width="17" bestFit="1" customWidth="1"/>
    <col min="44" max="44" width="17.28515625" bestFit="1" customWidth="1"/>
  </cols>
  <sheetData>
    <row r="2" spans="1:44" x14ac:dyDescent="0.25">
      <c r="B2" s="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</row>
    <row r="3" spans="1:44" x14ac:dyDescent="0.25">
      <c r="A3" s="3"/>
    </row>
    <row r="4" spans="1:44" x14ac:dyDescent="0.25">
      <c r="A4" s="3" t="s">
        <v>876</v>
      </c>
      <c r="C4" s="1"/>
      <c r="D4" s="1"/>
      <c r="E4" s="1"/>
      <c r="F4" s="1">
        <v>2</v>
      </c>
      <c r="G4" s="1">
        <v>2</v>
      </c>
      <c r="H4" s="1"/>
      <c r="I4" s="1">
        <v>3</v>
      </c>
      <c r="J4" s="1"/>
      <c r="K4" s="1"/>
      <c r="L4" s="1">
        <v>2</v>
      </c>
      <c r="M4" s="1">
        <v>1</v>
      </c>
      <c r="N4" s="1">
        <v>1</v>
      </c>
      <c r="O4" s="1">
        <v>3</v>
      </c>
      <c r="P4" s="1"/>
      <c r="Q4" s="1"/>
      <c r="R4" s="1">
        <v>3</v>
      </c>
      <c r="S4" s="1">
        <v>2</v>
      </c>
      <c r="T4" s="1">
        <v>1</v>
      </c>
      <c r="U4" s="1">
        <v>4</v>
      </c>
      <c r="V4" s="1">
        <v>5</v>
      </c>
      <c r="W4" s="1"/>
      <c r="X4" s="1">
        <v>2</v>
      </c>
      <c r="Y4" s="1">
        <v>2</v>
      </c>
      <c r="Z4" s="1">
        <v>1</v>
      </c>
      <c r="AA4" s="1">
        <v>4</v>
      </c>
      <c r="AB4" s="1">
        <v>4</v>
      </c>
      <c r="AC4" s="1">
        <v>5</v>
      </c>
      <c r="AD4" s="1">
        <v>4</v>
      </c>
      <c r="AE4" s="1">
        <v>2</v>
      </c>
      <c r="AF4" s="1">
        <v>2</v>
      </c>
      <c r="AG4" s="1">
        <v>1</v>
      </c>
    </row>
    <row r="5" spans="1:44" x14ac:dyDescent="0.25">
      <c r="A5" s="3"/>
    </row>
    <row r="6" spans="1:44" x14ac:dyDescent="0.25">
      <c r="A6" s="3" t="s">
        <v>548</v>
      </c>
      <c r="C6">
        <f>SUM(C3:C4)</f>
        <v>0</v>
      </c>
      <c r="D6">
        <f t="shared" ref="D6:AO6" si="0">SUM(D3:D4)</f>
        <v>0</v>
      </c>
      <c r="E6">
        <f t="shared" si="0"/>
        <v>0</v>
      </c>
      <c r="F6">
        <f t="shared" si="0"/>
        <v>2</v>
      </c>
      <c r="G6">
        <f t="shared" si="0"/>
        <v>2</v>
      </c>
      <c r="H6">
        <f t="shared" si="0"/>
        <v>0</v>
      </c>
      <c r="I6">
        <f t="shared" si="0"/>
        <v>3</v>
      </c>
      <c r="J6">
        <f t="shared" si="0"/>
        <v>0</v>
      </c>
      <c r="K6">
        <f t="shared" si="0"/>
        <v>0</v>
      </c>
      <c r="L6">
        <f t="shared" si="0"/>
        <v>2</v>
      </c>
      <c r="M6">
        <f t="shared" si="0"/>
        <v>1</v>
      </c>
      <c r="N6">
        <f t="shared" si="0"/>
        <v>1</v>
      </c>
      <c r="O6">
        <f t="shared" si="0"/>
        <v>3</v>
      </c>
      <c r="P6">
        <f t="shared" si="0"/>
        <v>0</v>
      </c>
      <c r="Q6">
        <f t="shared" si="0"/>
        <v>0</v>
      </c>
      <c r="R6">
        <f t="shared" si="0"/>
        <v>3</v>
      </c>
      <c r="S6">
        <f t="shared" si="0"/>
        <v>2</v>
      </c>
      <c r="T6">
        <f t="shared" si="0"/>
        <v>1</v>
      </c>
      <c r="U6">
        <v>1</v>
      </c>
      <c r="V6">
        <f t="shared" si="0"/>
        <v>5</v>
      </c>
      <c r="W6">
        <f t="shared" si="0"/>
        <v>0</v>
      </c>
      <c r="X6">
        <f t="shared" si="0"/>
        <v>2</v>
      </c>
      <c r="Y6">
        <f t="shared" si="0"/>
        <v>2</v>
      </c>
      <c r="Z6">
        <f t="shared" si="0"/>
        <v>1</v>
      </c>
      <c r="AA6">
        <f t="shared" si="0"/>
        <v>4</v>
      </c>
      <c r="AB6">
        <f t="shared" si="0"/>
        <v>4</v>
      </c>
      <c r="AC6">
        <f t="shared" si="0"/>
        <v>5</v>
      </c>
      <c r="AD6">
        <f t="shared" si="0"/>
        <v>4</v>
      </c>
      <c r="AE6">
        <f t="shared" si="0"/>
        <v>2</v>
      </c>
      <c r="AF6">
        <f t="shared" si="0"/>
        <v>2</v>
      </c>
      <c r="AG6">
        <f t="shared" si="0"/>
        <v>1</v>
      </c>
      <c r="AH6">
        <f t="shared" si="0"/>
        <v>0</v>
      </c>
      <c r="AI6">
        <f t="shared" si="0"/>
        <v>0</v>
      </c>
      <c r="AJ6">
        <f t="shared" si="0"/>
        <v>0</v>
      </c>
      <c r="AK6">
        <f t="shared" si="0"/>
        <v>0</v>
      </c>
      <c r="AL6">
        <f t="shared" si="0"/>
        <v>0</v>
      </c>
      <c r="AM6">
        <f t="shared" si="0"/>
        <v>0</v>
      </c>
      <c r="AN6">
        <f t="shared" si="0"/>
        <v>0</v>
      </c>
      <c r="AO6">
        <f t="shared" si="0"/>
        <v>0</v>
      </c>
    </row>
    <row r="7" spans="1:44" x14ac:dyDescent="0.25">
      <c r="A7" s="3" t="s">
        <v>549</v>
      </c>
    </row>
    <row r="8" spans="1:44" x14ac:dyDescent="0.25">
      <c r="A8" s="3"/>
      <c r="AP8" s="3" t="s">
        <v>873</v>
      </c>
      <c r="AQ8" s="3" t="s">
        <v>874</v>
      </c>
      <c r="AR8" s="3" t="s">
        <v>875</v>
      </c>
    </row>
    <row r="9" spans="1:44" x14ac:dyDescent="0.25">
      <c r="A9" s="3"/>
      <c r="AP9" s="1">
        <f>SUM(F4:T4)</f>
        <v>20</v>
      </c>
      <c r="AQ9" s="1">
        <f>SUM(U4:Z4)</f>
        <v>14</v>
      </c>
      <c r="AR9" s="1">
        <f>SUM(AA4:AF4)</f>
        <v>21</v>
      </c>
    </row>
    <row r="10" spans="1:44" x14ac:dyDescent="0.25">
      <c r="A10" s="3"/>
    </row>
    <row r="11" spans="1:44" x14ac:dyDescent="0.25">
      <c r="A11" s="3"/>
      <c r="AP11" s="34" t="s">
        <v>877</v>
      </c>
      <c r="AQ11">
        <f>SUM(F4:H4)</f>
        <v>4</v>
      </c>
    </row>
    <row r="12" spans="1:44" x14ac:dyDescent="0.25">
      <c r="A12" s="3"/>
      <c r="AP12" s="2" t="s">
        <v>878</v>
      </c>
      <c r="AQ12">
        <f>SUM(I4:K4)</f>
        <v>3</v>
      </c>
    </row>
    <row r="13" spans="1:44" x14ac:dyDescent="0.25">
      <c r="A13" s="3" t="s">
        <v>550</v>
      </c>
      <c r="AP13" s="2" t="s">
        <v>879</v>
      </c>
      <c r="AQ13">
        <f>SUM(L4:N4)</f>
        <v>4</v>
      </c>
    </row>
    <row r="14" spans="1:44" x14ac:dyDescent="0.25">
      <c r="A14" s="2" t="s">
        <v>551</v>
      </c>
      <c r="AP14" s="2" t="s">
        <v>880</v>
      </c>
      <c r="AQ14">
        <f>SUM(O4:Q4)</f>
        <v>3</v>
      </c>
    </row>
    <row r="15" spans="1:44" x14ac:dyDescent="0.25">
      <c r="AP15" s="2" t="s">
        <v>881</v>
      </c>
      <c r="AQ15">
        <f>SUM(R4:T4)</f>
        <v>6</v>
      </c>
    </row>
    <row r="16" spans="1:44" x14ac:dyDescent="0.25">
      <c r="AP16" s="2" t="s">
        <v>883</v>
      </c>
      <c r="AQ16">
        <f>SUM(U4:W4)</f>
        <v>9</v>
      </c>
    </row>
    <row r="17" spans="42:44" x14ac:dyDescent="0.25">
      <c r="AP17" s="2" t="s">
        <v>882</v>
      </c>
      <c r="AQ17">
        <f>SUM(X4:Z4)</f>
        <v>5</v>
      </c>
    </row>
    <row r="18" spans="42:44" x14ac:dyDescent="0.25">
      <c r="AP18" s="2" t="s">
        <v>884</v>
      </c>
      <c r="AQ18">
        <f>SUM(AA4:AC4)</f>
        <v>13</v>
      </c>
    </row>
    <row r="19" spans="42:44" x14ac:dyDescent="0.25">
      <c r="AP19" s="2" t="s">
        <v>885</v>
      </c>
      <c r="AQ19">
        <f>SUM(AD4:AF4)</f>
        <v>8</v>
      </c>
    </row>
    <row r="20" spans="42:44" x14ac:dyDescent="0.25">
      <c r="AP20" s="2"/>
      <c r="AQ20" s="2">
        <f>SUM(AQ11:AQ19)</f>
        <v>55</v>
      </c>
    </row>
    <row r="22" spans="42:44" x14ac:dyDescent="0.25">
      <c r="AP22" s="3" t="s">
        <v>873</v>
      </c>
      <c r="AQ22" s="3" t="s">
        <v>874</v>
      </c>
      <c r="AR22" s="3" t="s">
        <v>1</v>
      </c>
    </row>
    <row r="23" spans="42:44" x14ac:dyDescent="0.25">
      <c r="AP23" s="1">
        <f>SUM(F4:T4)</f>
        <v>20</v>
      </c>
      <c r="AQ23" s="1">
        <f>SUM(U4:Z4)</f>
        <v>14</v>
      </c>
      <c r="AR23" s="1">
        <f>SUM(AA4:AD4)</f>
        <v>17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F8AC-9874-47A4-ADEE-C0F93DD32867}">
  <dimension ref="A1:AQ62"/>
  <sheetViews>
    <sheetView topLeftCell="A16" workbookViewId="0">
      <selection activeCell="M54" sqref="M24:M54"/>
    </sheetView>
  </sheetViews>
  <sheetFormatPr defaultRowHeight="15" x14ac:dyDescent="0.25"/>
  <cols>
    <col min="1" max="1" width="10.7109375" bestFit="1" customWidth="1"/>
    <col min="2" max="2" width="16.7109375" customWidth="1"/>
  </cols>
  <sheetData>
    <row r="1" spans="1:43" x14ac:dyDescent="0.25">
      <c r="A1" s="4" t="s">
        <v>2</v>
      </c>
      <c r="B1" s="5"/>
      <c r="P1" t="s">
        <v>470</v>
      </c>
      <c r="AA1" t="s">
        <v>471</v>
      </c>
      <c r="AL1" s="6"/>
    </row>
    <row r="2" spans="1:43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596</v>
      </c>
      <c r="G2" s="7" t="s">
        <v>553</v>
      </c>
      <c r="H2" s="7" t="s">
        <v>8</v>
      </c>
      <c r="I2" s="7" t="s">
        <v>596</v>
      </c>
      <c r="J2" s="7" t="s">
        <v>553</v>
      </c>
      <c r="K2" s="7" t="s">
        <v>9</v>
      </c>
      <c r="L2" s="7" t="s">
        <v>10</v>
      </c>
      <c r="M2" s="7" t="s">
        <v>11</v>
      </c>
      <c r="N2" s="28" t="s">
        <v>110</v>
      </c>
      <c r="O2" s="28"/>
      <c r="P2" t="s">
        <v>395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AA2" t="s">
        <v>395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  <c r="AK2" s="12"/>
      <c r="AL2" s="12" t="s">
        <v>207</v>
      </c>
      <c r="AM2" s="7" t="s">
        <v>6</v>
      </c>
      <c r="AN2" s="7" t="s">
        <v>7</v>
      </c>
      <c r="AO2" s="7" t="s">
        <v>8</v>
      </c>
      <c r="AP2" s="7" t="s">
        <v>9</v>
      </c>
      <c r="AQ2" s="7" t="s">
        <v>10</v>
      </c>
    </row>
    <row r="3" spans="1:43" x14ac:dyDescent="0.25">
      <c r="A3" s="9">
        <v>42695</v>
      </c>
      <c r="B3" t="s">
        <v>239</v>
      </c>
      <c r="C3">
        <v>1</v>
      </c>
      <c r="D3">
        <v>-62.97</v>
      </c>
      <c r="E3">
        <v>0.208338</v>
      </c>
      <c r="H3">
        <v>13.6357</v>
      </c>
      <c r="K3">
        <f>H3/(1-(0.8*(H3/(ABS(D3)))))</f>
        <v>16.492821347238955</v>
      </c>
      <c r="L3">
        <f t="shared" ref="L3:L20" si="0">K3/E3</f>
        <v>79.163769198316942</v>
      </c>
    </row>
    <row r="4" spans="1:43" x14ac:dyDescent="0.25">
      <c r="B4" t="s">
        <v>240</v>
      </c>
      <c r="C4">
        <v>2</v>
      </c>
      <c r="D4">
        <v>-69.349999999999994</v>
      </c>
      <c r="E4">
        <v>0.20677599999999999</v>
      </c>
      <c r="H4">
        <v>12.918900000000001</v>
      </c>
      <c r="K4">
        <f>H4/(1-(0.8*(H4/(ABS(D4)))))</f>
        <v>15.181352821525692</v>
      </c>
      <c r="L4">
        <f t="shared" si="0"/>
        <v>73.419317626444524</v>
      </c>
    </row>
    <row r="5" spans="1:43" x14ac:dyDescent="0.25">
      <c r="B5" t="s">
        <v>241</v>
      </c>
      <c r="C5">
        <v>3</v>
      </c>
      <c r="D5">
        <v>-70.900000000000006</v>
      </c>
      <c r="E5">
        <v>0.21963299999999999</v>
      </c>
      <c r="H5">
        <v>13.1889</v>
      </c>
      <c r="K5">
        <f>H5/(1-(0.8*(H5/(ABS(D5)))))</f>
        <v>15.49478648153868</v>
      </c>
      <c r="L5">
        <f t="shared" si="0"/>
        <v>70.548535427457082</v>
      </c>
    </row>
    <row r="6" spans="1:43" x14ac:dyDescent="0.25">
      <c r="B6" t="s">
        <v>242</v>
      </c>
      <c r="C6">
        <v>4</v>
      </c>
      <c r="D6">
        <v>-67.92</v>
      </c>
      <c r="E6">
        <v>0.201346</v>
      </c>
      <c r="H6">
        <v>13.1388</v>
      </c>
      <c r="K6">
        <f t="shared" ref="K6:K20" si="1">H6/(1-(0.8*(H6/(ABS(D6)))))</f>
        <v>15.544390562030737</v>
      </c>
      <c r="L6">
        <f t="shared" si="0"/>
        <v>77.202380787454118</v>
      </c>
    </row>
    <row r="7" spans="1:43" x14ac:dyDescent="0.25">
      <c r="B7" t="s">
        <v>243</v>
      </c>
      <c r="C7">
        <v>5</v>
      </c>
      <c r="D7">
        <v>-69.34</v>
      </c>
      <c r="E7">
        <v>0.30870999999999998</v>
      </c>
      <c r="H7">
        <v>19.973299999999998</v>
      </c>
      <c r="K7">
        <f t="shared" si="1"/>
        <v>25.954147757853246</v>
      </c>
      <c r="L7">
        <f t="shared" si="0"/>
        <v>84.072909066286314</v>
      </c>
      <c r="M7">
        <f>AVERAGE(L3:L20)</f>
        <v>57.896402859508463</v>
      </c>
    </row>
    <row r="8" spans="1:43" x14ac:dyDescent="0.25">
      <c r="B8" t="s">
        <v>244</v>
      </c>
      <c r="C8">
        <v>6</v>
      </c>
      <c r="D8">
        <v>-68.55</v>
      </c>
      <c r="E8">
        <v>0.21356900000000001</v>
      </c>
      <c r="H8">
        <v>14.2234</v>
      </c>
      <c r="K8">
        <f t="shared" si="1"/>
        <v>17.054263434367744</v>
      </c>
      <c r="L8">
        <f t="shared" si="0"/>
        <v>79.853646523454913</v>
      </c>
    </row>
    <row r="9" spans="1:43" x14ac:dyDescent="0.25">
      <c r="B9" t="s">
        <v>245</v>
      </c>
      <c r="C9">
        <v>7</v>
      </c>
      <c r="D9">
        <v>-70.89</v>
      </c>
      <c r="E9">
        <v>0.281607</v>
      </c>
      <c r="H9">
        <v>11.950900000000001</v>
      </c>
      <c r="K9">
        <f t="shared" si="1"/>
        <v>13.813945003104553</v>
      </c>
      <c r="L9">
        <f t="shared" si="0"/>
        <v>49.053983044116634</v>
      </c>
    </row>
    <row r="10" spans="1:43" x14ac:dyDescent="0.25">
      <c r="B10" t="s">
        <v>246</v>
      </c>
      <c r="C10">
        <v>8</v>
      </c>
      <c r="D10">
        <v>-59.46</v>
      </c>
      <c r="E10">
        <v>0.24909100000000001</v>
      </c>
      <c r="H10">
        <v>16.910799999999998</v>
      </c>
      <c r="K10">
        <f t="shared" si="1"/>
        <v>21.891713374043352</v>
      </c>
      <c r="L10">
        <f t="shared" si="0"/>
        <v>87.886408477397225</v>
      </c>
    </row>
    <row r="11" spans="1:43" x14ac:dyDescent="0.25">
      <c r="B11" t="s">
        <v>247</v>
      </c>
      <c r="C11">
        <v>9</v>
      </c>
      <c r="D11">
        <v>-65.86</v>
      </c>
      <c r="E11">
        <v>0.102421</v>
      </c>
      <c r="H11">
        <v>4.4059299999999997</v>
      </c>
      <c r="K11">
        <f t="shared" si="1"/>
        <v>4.6550630962356196</v>
      </c>
      <c r="L11">
        <f t="shared" si="0"/>
        <v>45.450279691036208</v>
      </c>
    </row>
    <row r="12" spans="1:43" x14ac:dyDescent="0.25">
      <c r="B12" t="s">
        <v>248</v>
      </c>
      <c r="C12">
        <v>10</v>
      </c>
      <c r="D12">
        <v>-65.53</v>
      </c>
      <c r="E12">
        <v>0.115701</v>
      </c>
      <c r="H12">
        <v>1.9382999999999999</v>
      </c>
      <c r="K12">
        <f t="shared" si="1"/>
        <v>1.9852777364450036</v>
      </c>
      <c r="L12">
        <f t="shared" si="0"/>
        <v>17.158691251112813</v>
      </c>
    </row>
    <row r="13" spans="1:43" x14ac:dyDescent="0.25">
      <c r="B13" t="s">
        <v>249</v>
      </c>
      <c r="C13">
        <v>11</v>
      </c>
      <c r="D13">
        <v>-62.23</v>
      </c>
      <c r="E13">
        <v>0.11737</v>
      </c>
      <c r="H13">
        <v>1.4274</v>
      </c>
      <c r="K13">
        <f t="shared" si="1"/>
        <v>1.4540824003635406</v>
      </c>
      <c r="L13">
        <f t="shared" si="0"/>
        <v>12.388876206556535</v>
      </c>
    </row>
    <row r="14" spans="1:43" x14ac:dyDescent="0.25">
      <c r="B14" t="s">
        <v>250</v>
      </c>
      <c r="C14">
        <v>12</v>
      </c>
      <c r="D14">
        <v>-67</v>
      </c>
      <c r="E14">
        <v>0.12535199999999999</v>
      </c>
      <c r="H14">
        <v>4.2380599999999999</v>
      </c>
      <c r="K14">
        <f t="shared" si="1"/>
        <v>4.4639525208415236</v>
      </c>
      <c r="L14">
        <f t="shared" si="0"/>
        <v>35.611338637130032</v>
      </c>
    </row>
    <row r="15" spans="1:43" x14ac:dyDescent="0.25">
      <c r="B15" t="s">
        <v>251</v>
      </c>
      <c r="C15">
        <v>13</v>
      </c>
      <c r="D15">
        <v>-61.93</v>
      </c>
      <c r="E15">
        <v>0.174234</v>
      </c>
      <c r="H15">
        <v>3.7368700000000001</v>
      </c>
      <c r="K15">
        <f t="shared" si="1"/>
        <v>3.9264061790174041</v>
      </c>
      <c r="L15">
        <f t="shared" si="0"/>
        <v>22.535246731507076</v>
      </c>
    </row>
    <row r="16" spans="1:43" x14ac:dyDescent="0.25">
      <c r="B16" t="s">
        <v>252</v>
      </c>
      <c r="C16">
        <v>14</v>
      </c>
      <c r="D16">
        <v>-64.319999999999993</v>
      </c>
      <c r="E16">
        <v>0.23180899999999999</v>
      </c>
      <c r="H16">
        <v>10.49</v>
      </c>
      <c r="K16">
        <f t="shared" si="1"/>
        <v>12.064025175225289</v>
      </c>
      <c r="L16">
        <f t="shared" si="0"/>
        <v>52.042954221903763</v>
      </c>
    </row>
    <row r="17" spans="1:36" x14ac:dyDescent="0.25">
      <c r="B17" t="s">
        <v>253</v>
      </c>
      <c r="C17">
        <v>15</v>
      </c>
      <c r="D17">
        <v>-69.95</v>
      </c>
      <c r="E17">
        <v>0.20918999999999999</v>
      </c>
      <c r="H17">
        <v>10.837300000000001</v>
      </c>
      <c r="K17">
        <f t="shared" si="1"/>
        <v>12.370547580162976</v>
      </c>
      <c r="L17">
        <f t="shared" si="0"/>
        <v>59.135463359448238</v>
      </c>
    </row>
    <row r="18" spans="1:36" x14ac:dyDescent="0.25">
      <c r="B18" t="s">
        <v>254</v>
      </c>
      <c r="C18">
        <v>16</v>
      </c>
      <c r="D18">
        <v>-65.540000000000006</v>
      </c>
      <c r="E18">
        <v>0.13903099999999999</v>
      </c>
      <c r="H18">
        <v>9.1000499999999995</v>
      </c>
      <c r="K18">
        <f t="shared" si="1"/>
        <v>10.237172785563189</v>
      </c>
      <c r="L18">
        <f t="shared" si="0"/>
        <v>73.632303483131025</v>
      </c>
    </row>
    <row r="19" spans="1:36" x14ac:dyDescent="0.25">
      <c r="B19" t="s">
        <v>255</v>
      </c>
      <c r="C19">
        <v>17</v>
      </c>
      <c r="D19">
        <v>-67.95</v>
      </c>
      <c r="E19">
        <v>0.206675</v>
      </c>
      <c r="H19">
        <v>12.357900000000001</v>
      </c>
      <c r="K19">
        <f t="shared" si="1"/>
        <v>14.462040728386489</v>
      </c>
      <c r="L19">
        <f t="shared" si="0"/>
        <v>69.974794863367549</v>
      </c>
    </row>
    <row r="20" spans="1:36" x14ac:dyDescent="0.25">
      <c r="B20" t="s">
        <v>256</v>
      </c>
      <c r="C20">
        <v>18</v>
      </c>
      <c r="D20">
        <v>-61.64</v>
      </c>
      <c r="E20">
        <v>0.23719000000000001</v>
      </c>
      <c r="H20">
        <v>10.8085</v>
      </c>
      <c r="K20">
        <f t="shared" si="1"/>
        <v>12.572102458428629</v>
      </c>
      <c r="L20">
        <f t="shared" si="0"/>
        <v>53.00435287503111</v>
      </c>
    </row>
    <row r="22" spans="1:36" x14ac:dyDescent="0.25">
      <c r="A22" t="s">
        <v>631</v>
      </c>
      <c r="B22" t="s">
        <v>632</v>
      </c>
      <c r="C22">
        <v>1</v>
      </c>
      <c r="D22">
        <v>-60.48</v>
      </c>
      <c r="E22">
        <v>0.163272440433502</v>
      </c>
      <c r="F22">
        <v>0.747874915599823</v>
      </c>
      <c r="G22">
        <v>2.35479259490966</v>
      </c>
      <c r="H22">
        <v>15.974845886230399</v>
      </c>
      <c r="K22">
        <v>20.254846581941447</v>
      </c>
      <c r="L22">
        <v>124.05551437929839</v>
      </c>
      <c r="P22">
        <v>14.852855682373001</v>
      </c>
      <c r="Q22">
        <v>16.731742858886701</v>
      </c>
      <c r="R22">
        <v>17.768295288085898</v>
      </c>
      <c r="S22">
        <v>17.218948364257798</v>
      </c>
      <c r="T22">
        <v>16.197780609130799</v>
      </c>
      <c r="U22">
        <v>15.223136901855399</v>
      </c>
      <c r="V22">
        <v>15.73970413208</v>
      </c>
      <c r="W22">
        <v>13.1436805725097</v>
      </c>
      <c r="X22">
        <v>14.1915321350097</v>
      </c>
      <c r="Y22">
        <v>13.2263374328613</v>
      </c>
      <c r="AA22">
        <v>1</v>
      </c>
      <c r="AB22">
        <v>1.1265000627955684</v>
      </c>
      <c r="AC22">
        <v>1.1962881528010043</v>
      </c>
      <c r="AD22">
        <v>1.1593022064230258</v>
      </c>
      <c r="AE22">
        <v>1.090549922218252</v>
      </c>
      <c r="AF22">
        <v>1.0249299681758735</v>
      </c>
      <c r="AG22">
        <v>1.0597089521821375</v>
      </c>
      <c r="AH22">
        <v>0.88492616191701723</v>
      </c>
      <c r="AI22">
        <v>0.95547499002847358</v>
      </c>
      <c r="AJ22">
        <v>0.89049121029015232</v>
      </c>
    </row>
    <row r="23" spans="1:36" x14ac:dyDescent="0.25">
      <c r="B23" t="s">
        <v>633</v>
      </c>
      <c r="C23">
        <v>2</v>
      </c>
      <c r="D23">
        <v>-68.42</v>
      </c>
      <c r="E23">
        <v>0.34917128086090099</v>
      </c>
      <c r="F23">
        <v>0.87699985504150402</v>
      </c>
      <c r="G23">
        <v>3.9247987270355198</v>
      </c>
      <c r="H23">
        <v>17.478515625</v>
      </c>
      <c r="K23">
        <v>21.968071716829602</v>
      </c>
      <c r="L23">
        <v>62.91488710831576</v>
      </c>
      <c r="P23">
        <v>17.196022033691399</v>
      </c>
      <c r="Q23">
        <v>18.816196441650298</v>
      </c>
      <c r="R23">
        <v>17.885715484619102</v>
      </c>
      <c r="S23">
        <v>16.7785835266113</v>
      </c>
      <c r="T23">
        <v>16.638362884521399</v>
      </c>
      <c r="U23">
        <v>14.4152107238769</v>
      </c>
      <c r="V23">
        <v>13.489986419677701</v>
      </c>
      <c r="W23">
        <v>14.145503997802701</v>
      </c>
      <c r="X23">
        <v>13.790031433105399</v>
      </c>
      <c r="Y23">
        <v>13.210975646972599</v>
      </c>
      <c r="AA23">
        <v>1</v>
      </c>
      <c r="AB23">
        <v>1.0942179769707532</v>
      </c>
      <c r="AC23">
        <v>1.0401077324497734</v>
      </c>
      <c r="AD23">
        <v>0.97572470503572095</v>
      </c>
      <c r="AE23">
        <v>0.96757045623241211</v>
      </c>
      <c r="AF23">
        <v>0.83828752345361157</v>
      </c>
      <c r="AG23">
        <v>0.78448296898244096</v>
      </c>
      <c r="AH23">
        <v>0.82260327243638354</v>
      </c>
      <c r="AI23">
        <v>0.80193148194897668</v>
      </c>
      <c r="AJ23">
        <v>0.76825765988720673</v>
      </c>
    </row>
    <row r="24" spans="1:36" x14ac:dyDescent="0.25">
      <c r="B24" t="s">
        <v>634</v>
      </c>
      <c r="C24">
        <v>3</v>
      </c>
      <c r="D24">
        <v>-73.98</v>
      </c>
      <c r="E24">
        <v>0.2306739538908</v>
      </c>
      <c r="F24">
        <v>0.82565838098526001</v>
      </c>
      <c r="G24">
        <v>3.1197590827941899</v>
      </c>
      <c r="H24">
        <v>24.8329772949218</v>
      </c>
      <c r="K24">
        <v>33.949747265252753</v>
      </c>
      <c r="L24">
        <v>147.17633565740331</v>
      </c>
      <c r="P24">
        <v>24.5836486816406</v>
      </c>
      <c r="Q24">
        <v>26.805587768554599</v>
      </c>
      <c r="R24">
        <v>26.986698150634702</v>
      </c>
      <c r="S24">
        <v>25.175418853759702</v>
      </c>
      <c r="T24">
        <v>23.7514038085937</v>
      </c>
      <c r="U24">
        <v>23.8689880371093</v>
      </c>
      <c r="V24">
        <v>22.739772796630799</v>
      </c>
      <c r="W24">
        <v>21.178443908691399</v>
      </c>
      <c r="X24">
        <v>20.088729858398398</v>
      </c>
      <c r="Y24">
        <v>19.004711151123001</v>
      </c>
      <c r="AA24">
        <v>1</v>
      </c>
      <c r="AB24">
        <v>1.0903828034515224</v>
      </c>
      <c r="AC24">
        <v>1.0977499109311928</v>
      </c>
      <c r="AD24">
        <v>1.0240716982162636</v>
      </c>
      <c r="AE24">
        <v>0.96614640553058218</v>
      </c>
      <c r="AF24">
        <v>0.97092943143687949</v>
      </c>
      <c r="AG24">
        <v>0.9249958413867656</v>
      </c>
      <c r="AH24">
        <v>0.86148497250970502</v>
      </c>
      <c r="AI24">
        <v>0.81715818992324485</v>
      </c>
      <c r="AJ24">
        <v>0.77306307933516705</v>
      </c>
    </row>
    <row r="25" spans="1:36" x14ac:dyDescent="0.25">
      <c r="B25" t="s">
        <v>635</v>
      </c>
      <c r="C25">
        <v>4</v>
      </c>
      <c r="D25">
        <v>-74.31</v>
      </c>
      <c r="E25">
        <v>0.55350524187088002</v>
      </c>
      <c r="F25">
        <v>0.73849642276763905</v>
      </c>
      <c r="G25">
        <v>4.3095026016235298</v>
      </c>
      <c r="H25">
        <v>36.935470581054602</v>
      </c>
      <c r="K25">
        <v>61.317588642030969</v>
      </c>
      <c r="L25">
        <v>110.7805021588846</v>
      </c>
      <c r="P25">
        <v>28.703506469726499</v>
      </c>
      <c r="Q25">
        <v>31.9454956054687</v>
      </c>
      <c r="R25">
        <v>31.949752807617099</v>
      </c>
      <c r="S25">
        <v>30.419334411621001</v>
      </c>
      <c r="T25">
        <v>28.632156372070298</v>
      </c>
      <c r="U25">
        <v>28.724342346191399</v>
      </c>
      <c r="V25">
        <v>26.7618904113769</v>
      </c>
      <c r="W25">
        <v>26.064369201660099</v>
      </c>
      <c r="X25">
        <v>26.269569396972599</v>
      </c>
      <c r="Y25">
        <v>25.277217864990199</v>
      </c>
      <c r="AA25">
        <v>1</v>
      </c>
      <c r="AB25">
        <v>1.1129474943823159</v>
      </c>
      <c r="AC25">
        <v>1.1130958108311404</v>
      </c>
      <c r="AD25">
        <v>1.059777642278799</v>
      </c>
      <c r="AE25">
        <v>0.99751423758168878</v>
      </c>
      <c r="AF25">
        <v>1.0007259000389683</v>
      </c>
      <c r="AG25">
        <v>0.93235613703164055</v>
      </c>
      <c r="AH25">
        <v>0.9080552311317821</v>
      </c>
      <c r="AI25">
        <v>0.91520419028521949</v>
      </c>
      <c r="AJ25">
        <v>0.88063170580395822</v>
      </c>
    </row>
    <row r="26" spans="1:36" x14ac:dyDescent="0.25">
      <c r="B26" t="s">
        <v>636</v>
      </c>
      <c r="C26">
        <v>5</v>
      </c>
      <c r="D26">
        <v>-75.7</v>
      </c>
      <c r="E26">
        <v>0.239590644836426</v>
      </c>
      <c r="F26">
        <v>0.91605031490325906</v>
      </c>
      <c r="G26">
        <v>3.1085751056671098</v>
      </c>
      <c r="H26">
        <v>23.5856399536132</v>
      </c>
      <c r="K26">
        <v>31.416262465671831</v>
      </c>
      <c r="L26">
        <v>131.12474607312163</v>
      </c>
      <c r="P26">
        <v>22.5514831542968</v>
      </c>
      <c r="Q26">
        <v>24.5713195800781</v>
      </c>
      <c r="R26">
        <v>24.6240730285644</v>
      </c>
      <c r="S26">
        <v>23.940719604492099</v>
      </c>
      <c r="T26">
        <v>22.569229125976499</v>
      </c>
      <c r="U26">
        <v>21.202274322509702</v>
      </c>
      <c r="V26">
        <v>20.175289154052699</v>
      </c>
      <c r="W26">
        <v>21.321273803710898</v>
      </c>
      <c r="X26">
        <v>18.0530471801757</v>
      </c>
      <c r="Y26">
        <v>17.639488220214801</v>
      </c>
      <c r="AA26">
        <v>1</v>
      </c>
      <c r="AB26">
        <v>1.0895655692338113</v>
      </c>
      <c r="AC26">
        <v>1.0919048144233787</v>
      </c>
      <c r="AD26">
        <v>1.0616028861911286</v>
      </c>
      <c r="AE26">
        <v>1.0007869092936497</v>
      </c>
      <c r="AF26">
        <v>0.94017205775088764</v>
      </c>
      <c r="AG26">
        <v>0.89463247343927543</v>
      </c>
      <c r="AH26">
        <v>0.94544884954267383</v>
      </c>
      <c r="AI26">
        <v>0.80052593688216023</v>
      </c>
      <c r="AJ26">
        <v>0.78218749957711309</v>
      </c>
    </row>
    <row r="27" spans="1:36" x14ac:dyDescent="0.25">
      <c r="B27" t="s">
        <v>637</v>
      </c>
      <c r="C27">
        <v>6</v>
      </c>
      <c r="D27">
        <v>-79.42</v>
      </c>
      <c r="E27">
        <v>0.25072804093360901</v>
      </c>
      <c r="F27">
        <v>0.65311992168426503</v>
      </c>
      <c r="G27">
        <v>3.0511476993560702</v>
      </c>
      <c r="H27">
        <v>24.47314453125</v>
      </c>
      <c r="K27">
        <v>32.480095689001281</v>
      </c>
      <c r="L27">
        <v>129.54313194510931</v>
      </c>
      <c r="P27">
        <v>25.387344360351499</v>
      </c>
      <c r="Q27">
        <v>27.3752937316894</v>
      </c>
      <c r="R27">
        <v>27.561595916748001</v>
      </c>
      <c r="S27">
        <v>26.0161437988281</v>
      </c>
      <c r="T27">
        <v>26.174575805663999</v>
      </c>
      <c r="U27">
        <v>23.930259704589801</v>
      </c>
      <c r="V27">
        <v>22.788658142089801</v>
      </c>
      <c r="W27">
        <v>20.5574340820312</v>
      </c>
      <c r="X27">
        <v>21.2987670898437</v>
      </c>
      <c r="Y27">
        <v>19.167781829833899</v>
      </c>
      <c r="AA27">
        <v>1</v>
      </c>
      <c r="AB27">
        <v>1.0783047388935476</v>
      </c>
      <c r="AC27">
        <v>1.0856431269665261</v>
      </c>
      <c r="AD27">
        <v>1.0247682242597467</v>
      </c>
      <c r="AE27">
        <v>1.0310088142398208</v>
      </c>
      <c r="AF27">
        <v>0.94260586554152204</v>
      </c>
      <c r="AG27">
        <v>0.89763851699588648</v>
      </c>
      <c r="AH27">
        <v>0.80975125992841634</v>
      </c>
      <c r="AI27">
        <v>0.83895214826434916</v>
      </c>
      <c r="AJ27">
        <v>0.75501326794026724</v>
      </c>
    </row>
    <row r="28" spans="1:36" x14ac:dyDescent="0.25">
      <c r="B28" t="s">
        <v>638</v>
      </c>
      <c r="C28">
        <v>7</v>
      </c>
      <c r="D28">
        <v>-72.42</v>
      </c>
      <c r="E28">
        <v>0.72381287813186601</v>
      </c>
      <c r="F28">
        <v>0.78023880720138605</v>
      </c>
      <c r="G28">
        <v>5.13250255584716</v>
      </c>
      <c r="H28">
        <v>33.111854553222599</v>
      </c>
      <c r="K28">
        <v>52.208437808187057</v>
      </c>
      <c r="L28">
        <v>72.129744282714455</v>
      </c>
      <c r="P28">
        <v>32.357322692871001</v>
      </c>
      <c r="Q28">
        <v>32.009521484375</v>
      </c>
      <c r="R28">
        <v>32.660568237304602</v>
      </c>
      <c r="S28">
        <v>31.5578002929687</v>
      </c>
      <c r="T28">
        <v>33.338897705078097</v>
      </c>
      <c r="U28">
        <v>31.062873840331999</v>
      </c>
      <c r="V28">
        <v>29.132839202880799</v>
      </c>
      <c r="W28">
        <v>30.245693206787099</v>
      </c>
      <c r="X28">
        <v>27.5106506347656</v>
      </c>
      <c r="Y28">
        <v>28.442131042480401</v>
      </c>
      <c r="AA28">
        <v>1</v>
      </c>
      <c r="AB28">
        <v>0.98925123651924918</v>
      </c>
      <c r="AC28">
        <v>1.0093717748934898</v>
      </c>
      <c r="AD28">
        <v>0.97529083578727438</v>
      </c>
      <c r="AE28">
        <v>1.0303354829917173</v>
      </c>
      <c r="AF28">
        <v>0.95999518053994637</v>
      </c>
      <c r="AG28">
        <v>0.90034764246114141</v>
      </c>
      <c r="AH28">
        <v>0.93474029028522998</v>
      </c>
      <c r="AI28">
        <v>0.85021405806317762</v>
      </c>
      <c r="AJ28">
        <v>0.87900137203708761</v>
      </c>
    </row>
    <row r="29" spans="1:36" x14ac:dyDescent="0.25">
      <c r="B29" t="s">
        <v>639</v>
      </c>
      <c r="C29">
        <v>9</v>
      </c>
      <c r="D29">
        <v>-67.760000000000005</v>
      </c>
      <c r="E29">
        <v>0.23661142587661699</v>
      </c>
      <c r="F29">
        <v>0.97748488187789895</v>
      </c>
      <c r="G29">
        <v>3.3633930683135902</v>
      </c>
      <c r="H29">
        <v>14.1201820373535</v>
      </c>
      <c r="K29">
        <v>16.94506238591886</v>
      </c>
      <c r="L29">
        <v>71.61557107032948</v>
      </c>
      <c r="P29">
        <v>14.832527160644499</v>
      </c>
      <c r="Q29">
        <v>15.748954772949199</v>
      </c>
      <c r="R29">
        <v>15.43648147583</v>
      </c>
      <c r="S29">
        <v>15.3665962219238</v>
      </c>
      <c r="T29">
        <v>14.9001693725585</v>
      </c>
      <c r="U29">
        <v>13.033931732177701</v>
      </c>
      <c r="V29">
        <v>13.1802520751953</v>
      </c>
      <c r="W29">
        <v>13.035743713378899</v>
      </c>
      <c r="X29">
        <v>12.0223274230957</v>
      </c>
      <c r="Y29">
        <v>13.2521438598632</v>
      </c>
      <c r="AA29">
        <v>1</v>
      </c>
      <c r="AB29">
        <v>1.0617849947200015</v>
      </c>
      <c r="AC29">
        <v>1.0407182342323962</v>
      </c>
      <c r="AD29">
        <v>1.036006612729917</v>
      </c>
      <c r="AE29">
        <v>1.0045603969695385</v>
      </c>
      <c r="AF29">
        <v>0.87873978527145025</v>
      </c>
      <c r="AG29">
        <v>0.88860461419998471</v>
      </c>
      <c r="AH29">
        <v>0.87886194794687122</v>
      </c>
      <c r="AI29">
        <v>0.81053803528469714</v>
      </c>
      <c r="AJ29">
        <v>0.89345151479145313</v>
      </c>
    </row>
    <row r="30" spans="1:36" x14ac:dyDescent="0.25">
      <c r="B30" t="s">
        <v>640</v>
      </c>
      <c r="C30">
        <v>10</v>
      </c>
      <c r="D30">
        <v>-57.53</v>
      </c>
      <c r="E30">
        <v>0.18360640108585399</v>
      </c>
      <c r="F30">
        <v>0.69270485639572099</v>
      </c>
      <c r="G30">
        <v>2.3794026374816899</v>
      </c>
      <c r="H30">
        <v>15.6248321533203</v>
      </c>
      <c r="K30">
        <v>19.962112221210571</v>
      </c>
      <c r="L30">
        <v>108.72231089523032</v>
      </c>
      <c r="P30">
        <v>15.3782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B31" t="s">
        <v>641</v>
      </c>
      <c r="C31">
        <v>11</v>
      </c>
      <c r="D31">
        <v>-61.34</v>
      </c>
      <c r="E31">
        <v>0.18574289977550501</v>
      </c>
      <c r="F31">
        <v>0.97928935289382901</v>
      </c>
      <c r="G31">
        <v>1.99321472644805</v>
      </c>
      <c r="H31">
        <v>16.5531196594238</v>
      </c>
      <c r="K31">
        <v>21.110624662710872</v>
      </c>
      <c r="L31">
        <v>113.65508284960485</v>
      </c>
      <c r="P31">
        <v>16.497753143310501</v>
      </c>
      <c r="Q31">
        <v>18.9359130859375</v>
      </c>
      <c r="R31">
        <v>19.2349128723144</v>
      </c>
      <c r="S31">
        <v>18.877536773681602</v>
      </c>
      <c r="T31">
        <v>18.622188568115199</v>
      </c>
      <c r="U31">
        <v>17.7255744934082</v>
      </c>
      <c r="V31">
        <v>16.4540405273437</v>
      </c>
      <c r="W31">
        <v>15.8284378051757</v>
      </c>
      <c r="X31">
        <v>16.654445648193299</v>
      </c>
      <c r="Y31">
        <v>15.009517669677701</v>
      </c>
      <c r="AA31">
        <v>1</v>
      </c>
      <c r="AB31">
        <v>1.1477873939225247</v>
      </c>
      <c r="AC31">
        <v>1.1659110610534114</v>
      </c>
      <c r="AD31">
        <v>1.1442489537635041</v>
      </c>
      <c r="AE31">
        <v>1.1287711972867114</v>
      </c>
      <c r="AF31">
        <v>1.0744235496453378</v>
      </c>
      <c r="AG31">
        <v>0.9973503897417374</v>
      </c>
      <c r="AH31">
        <v>0.95942990949611862</v>
      </c>
      <c r="AI31">
        <v>1.0094978087938196</v>
      </c>
      <c r="AJ31">
        <v>0.90979162673213787</v>
      </c>
    </row>
    <row r="32" spans="1:36" x14ac:dyDescent="0.25">
      <c r="B32" t="s">
        <v>642</v>
      </c>
      <c r="C32">
        <v>12</v>
      </c>
      <c r="D32">
        <v>-58.42</v>
      </c>
      <c r="E32">
        <v>0.17987157404422799</v>
      </c>
      <c r="F32">
        <v>1.4735392332077</v>
      </c>
      <c r="G32">
        <v>2.1705765724182098</v>
      </c>
      <c r="H32">
        <v>15.0898284912109</v>
      </c>
      <c r="K32">
        <v>19.020134002770771</v>
      </c>
      <c r="L32">
        <v>105.74285627863566</v>
      </c>
      <c r="P32">
        <v>14.9709358215332</v>
      </c>
      <c r="Q32">
        <v>15.9518165588378</v>
      </c>
      <c r="R32">
        <v>16.912914276123001</v>
      </c>
      <c r="S32">
        <v>17.674747467041001</v>
      </c>
      <c r="T32">
        <v>17.2863044738769</v>
      </c>
      <c r="U32">
        <v>15.6764068603515</v>
      </c>
      <c r="V32">
        <v>15.2745857238769</v>
      </c>
      <c r="W32">
        <v>15.3525238037109</v>
      </c>
      <c r="X32">
        <v>14.533321380615201</v>
      </c>
      <c r="Y32">
        <v>14.1130027770996</v>
      </c>
      <c r="AA32">
        <v>1</v>
      </c>
      <c r="AB32">
        <v>1.0655189995466927</v>
      </c>
      <c r="AC32">
        <v>1.1297165706766699</v>
      </c>
      <c r="AD32">
        <v>1.1806040502570867</v>
      </c>
      <c r="AE32">
        <v>1.1546575765165881</v>
      </c>
      <c r="AF32">
        <v>1.0471227081077723</v>
      </c>
      <c r="AG32">
        <v>1.0202826266816902</v>
      </c>
      <c r="AH32">
        <v>1.0254885857989484</v>
      </c>
      <c r="AI32">
        <v>0.97076906573278043</v>
      </c>
      <c r="AJ32">
        <v>0.94269342580444404</v>
      </c>
    </row>
    <row r="33" spans="1:36" x14ac:dyDescent="0.25">
      <c r="B33" t="s">
        <v>643</v>
      </c>
      <c r="C33">
        <v>13</v>
      </c>
      <c r="D33">
        <v>-60.7</v>
      </c>
      <c r="E33">
        <v>0.15478128194808999</v>
      </c>
      <c r="F33">
        <v>1.2989517450332599</v>
      </c>
      <c r="G33">
        <v>2.8255591392517001</v>
      </c>
      <c r="H33">
        <v>12.8548889160156</v>
      </c>
      <c r="K33">
        <v>15.477038674255173</v>
      </c>
      <c r="L33">
        <v>99.992960902377121</v>
      </c>
      <c r="P33">
        <v>13.342056274414</v>
      </c>
      <c r="Q33">
        <v>14.931621551513601</v>
      </c>
      <c r="R33">
        <v>14.646484375</v>
      </c>
      <c r="S33">
        <v>14.8674201965332</v>
      </c>
      <c r="T33">
        <v>14.117504119873001</v>
      </c>
      <c r="U33">
        <v>13.962638854980399</v>
      </c>
      <c r="V33">
        <v>13.427806854248001</v>
      </c>
      <c r="W33">
        <v>12.9570159912109</v>
      </c>
      <c r="X33">
        <v>12.3527488708496</v>
      </c>
      <c r="Y33">
        <v>11.273723602294901</v>
      </c>
      <c r="AA33">
        <v>1</v>
      </c>
      <c r="AB33">
        <v>1.1191394523007598</v>
      </c>
      <c r="AC33">
        <v>1.0977681456109203</v>
      </c>
      <c r="AD33">
        <v>1.1143274987562737</v>
      </c>
      <c r="AE33">
        <v>1.05812056473979</v>
      </c>
      <c r="AF33">
        <v>1.0465132636081358</v>
      </c>
      <c r="AG33">
        <v>1.0064270887538111</v>
      </c>
      <c r="AH33">
        <v>0.97114085900375868</v>
      </c>
      <c r="AI33">
        <v>0.92585045489115569</v>
      </c>
      <c r="AJ33">
        <v>0.84497646917547997</v>
      </c>
    </row>
    <row r="35" spans="1:36" x14ac:dyDescent="0.25">
      <c r="A35" t="s">
        <v>644</v>
      </c>
      <c r="B35" t="s">
        <v>645</v>
      </c>
      <c r="C35">
        <v>1</v>
      </c>
      <c r="D35">
        <v>-58.61</v>
      </c>
      <c r="E35">
        <v>0.101728707551956</v>
      </c>
      <c r="F35">
        <v>0.87937134504318204</v>
      </c>
      <c r="G35">
        <v>1.2847415208816499</v>
      </c>
      <c r="H35">
        <v>6.0298767089843697</v>
      </c>
      <c r="K35">
        <v>6.5706768644114586</v>
      </c>
      <c r="L35">
        <v>64.590193098202988</v>
      </c>
      <c r="P35">
        <v>6.8623199462890598</v>
      </c>
      <c r="Q35">
        <v>7.6030807495117099</v>
      </c>
      <c r="R35">
        <v>7.4166488647460902</v>
      </c>
      <c r="S35">
        <v>7.532470703125</v>
      </c>
      <c r="T35">
        <v>6.8819084167480398</v>
      </c>
      <c r="U35">
        <v>6.9591026306152299</v>
      </c>
      <c r="V35">
        <v>6.6091041564941397</v>
      </c>
      <c r="W35">
        <v>6.5117149353027299</v>
      </c>
      <c r="X35">
        <v>6.5509796142578098</v>
      </c>
      <c r="Y35">
        <v>5.9342803955078098</v>
      </c>
      <c r="AA35">
        <v>1</v>
      </c>
      <c r="AB35">
        <v>1.1079461186625714</v>
      </c>
      <c r="AC35">
        <v>1.0807786466961213</v>
      </c>
      <c r="AD35">
        <v>1.0976565887456673</v>
      </c>
      <c r="AE35">
        <v>1.0028544968191948</v>
      </c>
      <c r="AF35">
        <v>1.0141034934371587</v>
      </c>
      <c r="AG35">
        <v>0.96310055611268142</v>
      </c>
      <c r="AH35">
        <v>0.94890867611383711</v>
      </c>
      <c r="AI35">
        <v>0.95463045522970502</v>
      </c>
      <c r="AJ35">
        <v>0.86476300171881282</v>
      </c>
    </row>
    <row r="36" spans="1:36" x14ac:dyDescent="0.25">
      <c r="B36" t="s">
        <v>646</v>
      </c>
      <c r="C36">
        <v>2</v>
      </c>
      <c r="D36">
        <v>-70.13</v>
      </c>
      <c r="E36">
        <v>0.20660302042961101</v>
      </c>
      <c r="F36">
        <v>0.91840541362762496</v>
      </c>
      <c r="G36">
        <v>3.6010758876800502</v>
      </c>
      <c r="H36">
        <v>18.105842590331999</v>
      </c>
      <c r="K36">
        <v>22.818857104170828</v>
      </c>
      <c r="L36">
        <v>110.44783883953497</v>
      </c>
      <c r="P36">
        <v>18.105842590331999</v>
      </c>
      <c r="Q36">
        <v>17.609748840331999</v>
      </c>
      <c r="R36">
        <v>18.701847076416001</v>
      </c>
      <c r="S36">
        <v>19.1179084777832</v>
      </c>
      <c r="T36">
        <v>19.085746765136701</v>
      </c>
      <c r="U36">
        <v>18.590618133544901</v>
      </c>
      <c r="V36">
        <v>18.326961517333899</v>
      </c>
      <c r="W36">
        <v>16.717411041259702</v>
      </c>
      <c r="X36">
        <v>16.257301330566399</v>
      </c>
      <c r="Y36">
        <v>16.733116149902301</v>
      </c>
      <c r="AA36">
        <v>1</v>
      </c>
      <c r="AB36">
        <v>0.97260034999614431</v>
      </c>
      <c r="AC36">
        <v>1.032917798943102</v>
      </c>
      <c r="AD36">
        <v>1.0558971990616783</v>
      </c>
      <c r="AE36">
        <v>1.0541208822464823</v>
      </c>
      <c r="AF36">
        <v>1.0267745364952945</v>
      </c>
      <c r="AG36">
        <v>1.0122125731458624</v>
      </c>
      <c r="AH36">
        <v>0.92331582790774513</v>
      </c>
      <c r="AI36">
        <v>0.8979036048423028</v>
      </c>
      <c r="AJ36">
        <v>0.92418323347389009</v>
      </c>
    </row>
    <row r="37" spans="1:36" x14ac:dyDescent="0.25">
      <c r="B37" t="s">
        <v>647</v>
      </c>
      <c r="C37">
        <v>3</v>
      </c>
      <c r="D37">
        <v>-63.66</v>
      </c>
      <c r="E37">
        <v>0.18151494860649101</v>
      </c>
      <c r="F37">
        <v>0.87693619728088401</v>
      </c>
      <c r="G37">
        <v>2.3744206428527801</v>
      </c>
      <c r="H37">
        <v>14.2225189208984</v>
      </c>
      <c r="K37">
        <v>17.317734911404965</v>
      </c>
      <c r="L37">
        <v>95.40665958564297</v>
      </c>
      <c r="P37">
        <v>13.472251892089799</v>
      </c>
      <c r="Q37">
        <v>14.051342010498001</v>
      </c>
      <c r="R37">
        <v>13.8186378479003</v>
      </c>
      <c r="S37">
        <v>14.074501037597599</v>
      </c>
      <c r="T37">
        <v>13.561885833740201</v>
      </c>
      <c r="U37">
        <v>12.8172073364257</v>
      </c>
      <c r="V37">
        <v>12.215251922607401</v>
      </c>
      <c r="W37">
        <v>11.1272850036621</v>
      </c>
      <c r="X37">
        <v>11.6803131103515</v>
      </c>
      <c r="Y37">
        <v>11.317440032958901</v>
      </c>
      <c r="AA37">
        <v>1</v>
      </c>
      <c r="AB37">
        <v>1.0429839141256119</v>
      </c>
      <c r="AC37">
        <v>1.0257110658696844</v>
      </c>
      <c r="AD37">
        <v>1.04470293090804</v>
      </c>
      <c r="AE37">
        <v>1.0066532263773238</v>
      </c>
      <c r="AF37">
        <v>0.9513782431540857</v>
      </c>
      <c r="AG37">
        <v>0.90669711496261118</v>
      </c>
      <c r="AH37">
        <v>0.82594098542616023</v>
      </c>
      <c r="AI37">
        <v>0.86699040397318938</v>
      </c>
      <c r="AJ37">
        <v>0.84005555445440483</v>
      </c>
    </row>
    <row r="38" spans="1:36" x14ac:dyDescent="0.25">
      <c r="B38" t="s">
        <v>648</v>
      </c>
      <c r="C38">
        <v>4</v>
      </c>
      <c r="D38">
        <v>-69.400000000000006</v>
      </c>
      <c r="E38">
        <v>0.18792121112346599</v>
      </c>
      <c r="F38">
        <v>0.95719140768051103</v>
      </c>
      <c r="G38">
        <v>2.9603829383850102</v>
      </c>
      <c r="H38">
        <v>15.7614212036132</v>
      </c>
      <c r="K38">
        <v>19.260891154550603</v>
      </c>
      <c r="L38">
        <v>102.49450309202199</v>
      </c>
      <c r="P38">
        <v>15.501304626464799</v>
      </c>
      <c r="Q38">
        <v>16.980777740478501</v>
      </c>
      <c r="R38">
        <v>16.401657104492099</v>
      </c>
      <c r="S38">
        <v>17.1857795715332</v>
      </c>
      <c r="T38">
        <v>17.429569244384702</v>
      </c>
      <c r="U38">
        <v>16.381820678710898</v>
      </c>
      <c r="V38">
        <v>15.909461975097599</v>
      </c>
      <c r="W38">
        <v>15.662467956542899</v>
      </c>
      <c r="X38">
        <v>14.590847015380801</v>
      </c>
      <c r="Y38">
        <v>13.5579261779785</v>
      </c>
      <c r="AA38">
        <v>1</v>
      </c>
      <c r="AB38">
        <v>1.0954418450359238</v>
      </c>
      <c r="AC38">
        <v>1.0580823678860012</v>
      </c>
      <c r="AD38">
        <v>1.1086666564949996</v>
      </c>
      <c r="AE38">
        <v>1.1243936987489329</v>
      </c>
      <c r="AF38">
        <v>1.0568027061891827</v>
      </c>
      <c r="AG38">
        <v>1.0263305159448302</v>
      </c>
      <c r="AH38">
        <v>1.0103967591090979</v>
      </c>
      <c r="AI38">
        <v>0.94126574291497966</v>
      </c>
      <c r="AJ38">
        <v>0.8746312974736048</v>
      </c>
    </row>
    <row r="39" spans="1:36" x14ac:dyDescent="0.25">
      <c r="B39" t="s">
        <v>649</v>
      </c>
      <c r="C39">
        <v>5</v>
      </c>
      <c r="D39">
        <v>-63.82</v>
      </c>
      <c r="E39">
        <v>0.158259257674217</v>
      </c>
      <c r="F39">
        <v>2.2824828624725302</v>
      </c>
      <c r="G39">
        <v>4.6883616447448704</v>
      </c>
      <c r="H39">
        <v>3.0996208190917902</v>
      </c>
      <c r="K39">
        <v>3.2249237432479125</v>
      </c>
      <c r="L39">
        <v>20.377472955715152</v>
      </c>
      <c r="P39">
        <v>3.0617561340332</v>
      </c>
      <c r="Q39">
        <v>3.4853668212890598</v>
      </c>
      <c r="R39">
        <v>3.22654724121093</v>
      </c>
      <c r="S39">
        <v>3.46905517578125</v>
      </c>
      <c r="T39">
        <v>3.5783271789550701</v>
      </c>
      <c r="U39">
        <v>3.5342369079589799</v>
      </c>
      <c r="V39">
        <v>3.5998954772949201</v>
      </c>
      <c r="W39">
        <v>3.1432456970214799</v>
      </c>
      <c r="X39">
        <v>2.85276794433593</v>
      </c>
      <c r="Y39">
        <v>2.8149528503417902</v>
      </c>
      <c r="AA39">
        <v>1</v>
      </c>
      <c r="AB39">
        <v>1.1383554629146262</v>
      </c>
      <c r="AC39">
        <v>1.0538224143150987</v>
      </c>
      <c r="AD39">
        <v>1.1330279172859929</v>
      </c>
      <c r="AE39">
        <v>1.1687172401419834</v>
      </c>
      <c r="AF39">
        <v>1.1543169191934921</v>
      </c>
      <c r="AG39">
        <v>1.1757616608586126</v>
      </c>
      <c r="AH39">
        <v>1.0266153016180735</v>
      </c>
      <c r="AI39">
        <v>0.93174237903069912</v>
      </c>
      <c r="AJ39">
        <v>0.91939159329247433</v>
      </c>
    </row>
    <row r="40" spans="1:36" x14ac:dyDescent="0.25">
      <c r="B40" t="s">
        <v>650</v>
      </c>
      <c r="C40">
        <v>6</v>
      </c>
      <c r="D40">
        <v>-66.61</v>
      </c>
      <c r="E40">
        <v>0.35975387692451499</v>
      </c>
      <c r="F40">
        <v>1.6958867311477599</v>
      </c>
      <c r="G40">
        <v>5.9856920242309499</v>
      </c>
      <c r="H40">
        <v>7.6295318603515598</v>
      </c>
      <c r="K40">
        <v>8.399166555907092</v>
      </c>
      <c r="L40">
        <v>23.346979962274151</v>
      </c>
      <c r="P40">
        <v>7.2789535522460902</v>
      </c>
      <c r="Q40">
        <v>8.2283706665038991</v>
      </c>
      <c r="R40">
        <v>8.6955986022949201</v>
      </c>
      <c r="S40">
        <v>8.3501358032226491</v>
      </c>
      <c r="T40">
        <v>7.7028579711914</v>
      </c>
      <c r="U40">
        <v>7.7825813293456996</v>
      </c>
      <c r="V40">
        <v>7.5405578613281197</v>
      </c>
      <c r="W40">
        <v>7.7207756042480398</v>
      </c>
      <c r="X40">
        <v>7.2336692810058496</v>
      </c>
      <c r="Y40">
        <v>6.8325653076171804</v>
      </c>
      <c r="AA40">
        <v>1</v>
      </c>
      <c r="AB40">
        <v>1.1304331876063207</v>
      </c>
      <c r="AC40">
        <v>1.1946220758080934</v>
      </c>
      <c r="AD40">
        <v>1.1471615725101063</v>
      </c>
      <c r="AE40">
        <v>1.0582370001268251</v>
      </c>
      <c r="AF40">
        <v>1.0691895852178097</v>
      </c>
      <c r="AG40">
        <v>1.0359398239327005</v>
      </c>
      <c r="AH40">
        <v>1.0606985672913951</v>
      </c>
      <c r="AI40">
        <v>0.99377873880974732</v>
      </c>
      <c r="AJ40">
        <v>0.93867411827471181</v>
      </c>
    </row>
    <row r="41" spans="1:36" x14ac:dyDescent="0.25">
      <c r="B41" t="s">
        <v>651</v>
      </c>
      <c r="C41">
        <v>7</v>
      </c>
      <c r="D41">
        <v>-69.760000000000005</v>
      </c>
      <c r="E41">
        <v>0.120951563119888</v>
      </c>
      <c r="F41">
        <v>1.68989181518554</v>
      </c>
      <c r="G41">
        <v>2.44000816345214</v>
      </c>
      <c r="H41">
        <v>4.5193099975585902</v>
      </c>
      <c r="K41">
        <v>4.7663345791559371</v>
      </c>
      <c r="L41">
        <v>39.4069696679448</v>
      </c>
      <c r="P41">
        <v>4.3689498901367099</v>
      </c>
      <c r="Q41">
        <v>4.8728370666503897</v>
      </c>
      <c r="R41">
        <v>5.0787582397460902</v>
      </c>
      <c r="S41">
        <v>4.8547592163085902</v>
      </c>
      <c r="T41">
        <v>5.0868644714355398</v>
      </c>
      <c r="U41">
        <v>4.6671371459960902</v>
      </c>
      <c r="V41">
        <v>4.7679748535156197</v>
      </c>
      <c r="W41">
        <v>4.6662750244140598</v>
      </c>
      <c r="X41">
        <v>4.5458068847656197</v>
      </c>
      <c r="Y41">
        <v>3.8716735839843701</v>
      </c>
      <c r="AA41">
        <v>1</v>
      </c>
      <c r="AB41">
        <v>1.1153337047081382</v>
      </c>
      <c r="AC41">
        <v>1.162466580633446</v>
      </c>
      <c r="AD41">
        <v>1.1111959025368172</v>
      </c>
      <c r="AE41">
        <v>1.1643219994167444</v>
      </c>
      <c r="AF41">
        <v>1.0682514708013851</v>
      </c>
      <c r="AG41">
        <v>1.0913320073273771</v>
      </c>
      <c r="AH41">
        <v>1.0680541415566673</v>
      </c>
      <c r="AI41">
        <v>1.0404804355912116</v>
      </c>
      <c r="AJ41">
        <v>0.88617944388078584</v>
      </c>
    </row>
    <row r="42" spans="1:36" x14ac:dyDescent="0.25">
      <c r="B42" t="s">
        <v>652</v>
      </c>
      <c r="C42">
        <v>8</v>
      </c>
      <c r="D42">
        <v>-71.819999999999993</v>
      </c>
      <c r="E42">
        <v>0.172879323363304</v>
      </c>
      <c r="F42">
        <v>1.44091808795929</v>
      </c>
      <c r="G42">
        <v>4.0470685958862296</v>
      </c>
      <c r="H42">
        <v>10.0059547424316</v>
      </c>
      <c r="K42">
        <v>11.261067298741033</v>
      </c>
      <c r="L42">
        <v>65.138311971964526</v>
      </c>
      <c r="P42">
        <v>10.2191658020019</v>
      </c>
      <c r="Q42">
        <v>11.497737884521401</v>
      </c>
      <c r="R42">
        <v>11.7882575988769</v>
      </c>
      <c r="S42">
        <v>11.4702186584472</v>
      </c>
      <c r="T42">
        <v>10.789436340331999</v>
      </c>
      <c r="U42">
        <v>10.3148803710937</v>
      </c>
      <c r="V42">
        <v>8.9369888305663991</v>
      </c>
      <c r="W42">
        <v>9.4427375793456996</v>
      </c>
      <c r="X42">
        <v>8.9789314270019496</v>
      </c>
      <c r="Y42">
        <v>9.0456275939941406</v>
      </c>
      <c r="AA42">
        <v>1</v>
      </c>
      <c r="AB42">
        <v>1.1251151128469834</v>
      </c>
      <c r="AC42">
        <v>1.1535440198619362</v>
      </c>
      <c r="AD42">
        <v>1.1224222094723448</v>
      </c>
      <c r="AE42">
        <v>1.0558040205413231</v>
      </c>
      <c r="AF42">
        <v>1.0093661822252704</v>
      </c>
      <c r="AG42">
        <v>0.87453212950274994</v>
      </c>
      <c r="AH42">
        <v>0.92402234803704808</v>
      </c>
      <c r="AI42">
        <v>0.87863643676698222</v>
      </c>
      <c r="AJ42">
        <v>0.88516301322972302</v>
      </c>
    </row>
    <row r="43" spans="1:36" x14ac:dyDescent="0.25">
      <c r="B43" t="s">
        <v>653</v>
      </c>
      <c r="C43">
        <v>9</v>
      </c>
      <c r="D43">
        <v>-72.34</v>
      </c>
      <c r="E43">
        <v>0.123832702636719</v>
      </c>
      <c r="F43">
        <v>1.55160784721374</v>
      </c>
      <c r="G43">
        <v>2.8643326759338299</v>
      </c>
      <c r="H43">
        <v>7.9995346069335902</v>
      </c>
      <c r="K43">
        <v>8.7759033374268149</v>
      </c>
      <c r="L43">
        <v>70.869028540644763</v>
      </c>
      <c r="P43">
        <v>7.9595832824706996</v>
      </c>
      <c r="Q43">
        <v>8.4093437194824201</v>
      </c>
      <c r="R43">
        <v>8.2859649658203107</v>
      </c>
      <c r="S43">
        <v>8.3866386413574201</v>
      </c>
      <c r="T43">
        <v>7.7502250671386701</v>
      </c>
      <c r="U43">
        <v>7.40323638916015</v>
      </c>
      <c r="V43">
        <v>6.97772216796875</v>
      </c>
      <c r="W43">
        <v>6.478759765625</v>
      </c>
      <c r="X43">
        <v>6.6015396118164</v>
      </c>
      <c r="Y43">
        <v>5.99466705322265</v>
      </c>
      <c r="AA43">
        <v>1</v>
      </c>
      <c r="AB43">
        <v>1.0565055256098925</v>
      </c>
      <c r="AC43">
        <v>1.0410048707032689</v>
      </c>
      <c r="AD43">
        <v>1.0536529795256016</v>
      </c>
      <c r="AE43">
        <v>0.97369733968446603</v>
      </c>
      <c r="AF43">
        <v>0.93010351502499056</v>
      </c>
      <c r="AG43">
        <v>0.87664415589892863</v>
      </c>
      <c r="AH43">
        <v>0.81395715525624301</v>
      </c>
      <c r="AI43">
        <v>0.82938256659175813</v>
      </c>
      <c r="AJ43">
        <v>0.75313830391405512</v>
      </c>
    </row>
    <row r="44" spans="1:36" x14ac:dyDescent="0.25">
      <c r="B44" t="s">
        <v>654</v>
      </c>
      <c r="C44">
        <v>10</v>
      </c>
      <c r="D44">
        <v>-74.72</v>
      </c>
      <c r="E44">
        <v>0.15886464715004001</v>
      </c>
      <c r="F44">
        <v>1.93321025371551</v>
      </c>
      <c r="G44">
        <v>2.9069674015045099</v>
      </c>
      <c r="H44">
        <v>6.20941162109375</v>
      </c>
      <c r="K44">
        <v>6.6516244034254495</v>
      </c>
      <c r="L44">
        <v>41.86975845635002</v>
      </c>
      <c r="P44">
        <v>6.1045913696289</v>
      </c>
      <c r="Q44">
        <v>6.5203628540039</v>
      </c>
      <c r="R44">
        <v>7.2033996582031197</v>
      </c>
      <c r="S44">
        <v>7.041015625</v>
      </c>
      <c r="T44">
        <v>7.5334777832031197</v>
      </c>
      <c r="U44">
        <v>6.6682586669921804</v>
      </c>
      <c r="V44">
        <v>7.0437927246093697</v>
      </c>
      <c r="W44">
        <v>6.5916519165039</v>
      </c>
      <c r="X44">
        <v>6.1797332763671804</v>
      </c>
      <c r="Y44">
        <v>6.1967010498046804</v>
      </c>
      <c r="AA44">
        <v>1</v>
      </c>
      <c r="AB44">
        <v>1.0681079959657112</v>
      </c>
      <c r="AC44">
        <v>1.1799970255242518</v>
      </c>
      <c r="AD44">
        <v>1.1533967138291887</v>
      </c>
      <c r="AE44">
        <v>1.2340674956039002</v>
      </c>
      <c r="AF44">
        <v>1.092334975960487</v>
      </c>
      <c r="AG44">
        <v>1.1538516336495697</v>
      </c>
      <c r="AH44">
        <v>1.0797859377284755</v>
      </c>
      <c r="AI44">
        <v>1.0123090805245574</v>
      </c>
      <c r="AJ44">
        <v>1.0150885906359004</v>
      </c>
    </row>
    <row r="45" spans="1:36" x14ac:dyDescent="0.25">
      <c r="B45" t="s">
        <v>655</v>
      </c>
      <c r="C45">
        <v>11</v>
      </c>
      <c r="D45">
        <v>-88.02</v>
      </c>
      <c r="E45">
        <v>0.25271940231323198</v>
      </c>
      <c r="F45">
        <v>1.60747647285461</v>
      </c>
      <c r="G45">
        <v>4.9323859214782697</v>
      </c>
      <c r="H45">
        <v>11.3789367675781</v>
      </c>
      <c r="K45">
        <v>12.691510201506933</v>
      </c>
      <c r="L45">
        <v>50.21976977365788</v>
      </c>
      <c r="P45">
        <v>10.488990783691399</v>
      </c>
      <c r="Q45">
        <v>11.282752990722599</v>
      </c>
      <c r="R45">
        <v>12.157752990722599</v>
      </c>
      <c r="S45">
        <v>12.257011413574199</v>
      </c>
      <c r="T45">
        <v>12.277976989746</v>
      </c>
      <c r="U45">
        <v>12.433982849121</v>
      </c>
      <c r="V45">
        <v>12.439704895019499</v>
      </c>
      <c r="W45">
        <v>11.657310485839799</v>
      </c>
      <c r="X45">
        <v>11.401130676269499</v>
      </c>
      <c r="Y45">
        <v>11.5351257324218</v>
      </c>
      <c r="AA45">
        <v>1</v>
      </c>
      <c r="AB45">
        <v>1.0756757464469666</v>
      </c>
      <c r="AC45">
        <v>1.1590965462211906</v>
      </c>
      <c r="AD45">
        <v>1.1685596513853147</v>
      </c>
      <c r="AE45">
        <v>1.1705584686790049</v>
      </c>
      <c r="AF45">
        <v>1.1854317641744649</v>
      </c>
      <c r="AG45">
        <v>1.1859772929118337</v>
      </c>
      <c r="AH45">
        <v>1.1113853302230887</v>
      </c>
      <c r="AI45">
        <v>1.0869616449655313</v>
      </c>
      <c r="AJ45">
        <v>1.0997364732512649</v>
      </c>
    </row>
    <row r="46" spans="1:36" x14ac:dyDescent="0.25">
      <c r="B46" t="s">
        <v>656</v>
      </c>
      <c r="C46">
        <v>12</v>
      </c>
      <c r="D46">
        <v>-73.900000000000006</v>
      </c>
      <c r="E46">
        <v>0.63562798500061002</v>
      </c>
      <c r="F46">
        <v>1.6696605682373</v>
      </c>
      <c r="G46">
        <v>6.6910996437072701</v>
      </c>
      <c r="H46">
        <v>11.2020606994628</v>
      </c>
      <c r="K46">
        <v>12.747971996943912</v>
      </c>
      <c r="L46">
        <v>20.055712299910265</v>
      </c>
      <c r="P46">
        <v>9.7725715637206996</v>
      </c>
      <c r="Q46">
        <v>10.2631111145019</v>
      </c>
      <c r="R46">
        <v>10.600746154785099</v>
      </c>
      <c r="S46">
        <v>9.9715156555175692</v>
      </c>
      <c r="T46">
        <v>9.4530143737792898</v>
      </c>
      <c r="U46">
        <v>10.1409759521484</v>
      </c>
      <c r="V46">
        <v>9.1141166687011701</v>
      </c>
      <c r="W46">
        <v>10.1782875061035</v>
      </c>
      <c r="X46">
        <v>9.27630615234375</v>
      </c>
      <c r="Y46">
        <v>8.6389579772949201</v>
      </c>
      <c r="AA46">
        <v>1</v>
      </c>
      <c r="AB46">
        <v>1.0501955444974442</v>
      </c>
      <c r="AC46">
        <v>1.0847447967676063</v>
      </c>
      <c r="AD46">
        <v>1.020357394212944</v>
      </c>
      <c r="AE46">
        <v>0.96730060375022264</v>
      </c>
      <c r="AF46">
        <v>1.0376977938739635</v>
      </c>
      <c r="AG46">
        <v>0.93262214651218822</v>
      </c>
      <c r="AH46">
        <v>1.0415157811572302</v>
      </c>
      <c r="AI46">
        <v>0.94921854415277296</v>
      </c>
      <c r="AJ46">
        <v>0.88400048246930618</v>
      </c>
    </row>
    <row r="48" spans="1:36" x14ac:dyDescent="0.25">
      <c r="A48" t="s">
        <v>657</v>
      </c>
      <c r="B48" t="s">
        <v>658</v>
      </c>
      <c r="C48">
        <v>1</v>
      </c>
      <c r="D48">
        <v>-76.75</v>
      </c>
      <c r="E48">
        <v>0.158169135451317</v>
      </c>
      <c r="F48">
        <v>1.5185568332672099</v>
      </c>
      <c r="G48">
        <v>5.2807521820068297</v>
      </c>
      <c r="H48">
        <v>10.8445892333984</v>
      </c>
      <c r="K48">
        <v>12.226668123186476</v>
      </c>
      <c r="L48">
        <v>77.301226236706157</v>
      </c>
      <c r="P48">
        <v>10.7605667114257</v>
      </c>
      <c r="Q48">
        <v>11.268058776855399</v>
      </c>
      <c r="R48">
        <v>11.5348968505859</v>
      </c>
      <c r="S48">
        <v>11.0845031738281</v>
      </c>
      <c r="T48">
        <v>10.486930847167899</v>
      </c>
      <c r="U48">
        <v>9.5651321411132795</v>
      </c>
      <c r="V48">
        <v>8.6720809936523402</v>
      </c>
      <c r="W48">
        <v>8.3081512451171804</v>
      </c>
      <c r="X48">
        <v>7.9392318725585902</v>
      </c>
      <c r="Y48">
        <v>7.7211227416992099</v>
      </c>
      <c r="AA48">
        <v>1</v>
      </c>
      <c r="AB48">
        <v>1.0471622061402062</v>
      </c>
      <c r="AC48">
        <v>1.0719599775667956</v>
      </c>
      <c r="AD48">
        <v>1.0301040336526552</v>
      </c>
      <c r="AE48">
        <v>0.97457049692677888</v>
      </c>
      <c r="AF48">
        <v>0.88890598400890042</v>
      </c>
      <c r="AG48">
        <v>0.805913036573085</v>
      </c>
      <c r="AH48">
        <v>0.77209235051677017</v>
      </c>
      <c r="AI48">
        <v>0.73780796917774027</v>
      </c>
      <c r="AJ48">
        <v>0.71753867140666749</v>
      </c>
    </row>
    <row r="49" spans="2:36" x14ac:dyDescent="0.25">
      <c r="B49" t="s">
        <v>659</v>
      </c>
      <c r="C49">
        <v>2</v>
      </c>
      <c r="D49">
        <v>-92.99</v>
      </c>
      <c r="E49">
        <v>0.152323037385941</v>
      </c>
      <c r="F49">
        <v>1.29146385192871</v>
      </c>
      <c r="G49">
        <v>2.7440099716186501</v>
      </c>
      <c r="H49">
        <v>7.8723373413085902</v>
      </c>
      <c r="K49">
        <v>8.4442341916880324</v>
      </c>
      <c r="L49">
        <v>55.436356421208103</v>
      </c>
      <c r="P49">
        <v>8.0969085693359304</v>
      </c>
      <c r="Q49">
        <v>8.0919570922851491</v>
      </c>
      <c r="R49">
        <v>8.3291473388671804</v>
      </c>
      <c r="S49">
        <v>8.4660186767578107</v>
      </c>
      <c r="T49">
        <v>7.4651641845703098</v>
      </c>
      <c r="U49">
        <v>7.4382858276367099</v>
      </c>
      <c r="V49">
        <v>7.6754150390625</v>
      </c>
      <c r="W49">
        <v>7.2445297241210902</v>
      </c>
      <c r="X49">
        <v>6.8612365722656197</v>
      </c>
      <c r="Y49">
        <v>6.7211685180664</v>
      </c>
      <c r="AA49">
        <v>1</v>
      </c>
      <c r="AB49">
        <v>0.99938847314275803</v>
      </c>
      <c r="AC49">
        <v>1.0286823998989898</v>
      </c>
      <c r="AD49">
        <v>1.0455865475398536</v>
      </c>
      <c r="AE49">
        <v>0.92197708800144784</v>
      </c>
      <c r="AF49">
        <v>0.91865750538501667</v>
      </c>
      <c r="AG49">
        <v>0.94794389405980417</v>
      </c>
      <c r="AH49">
        <v>0.89472786583722674</v>
      </c>
      <c r="AI49">
        <v>0.84738965662154508</v>
      </c>
      <c r="AJ49">
        <v>0.83009070196498935</v>
      </c>
    </row>
    <row r="50" spans="2:36" x14ac:dyDescent="0.25">
      <c r="B50" t="s">
        <v>660</v>
      </c>
      <c r="C50">
        <v>3</v>
      </c>
      <c r="D50">
        <v>-63.24</v>
      </c>
      <c r="E50">
        <v>0.14385545253753701</v>
      </c>
      <c r="F50">
        <v>1.18260157108306</v>
      </c>
      <c r="G50">
        <v>1.6742918491363501</v>
      </c>
      <c r="H50">
        <v>4.4750061035156197</v>
      </c>
      <c r="K50">
        <v>4.7435368613497966</v>
      </c>
      <c r="L50">
        <v>32.974327894259268</v>
      </c>
      <c r="P50">
        <v>4.2231788635253897</v>
      </c>
      <c r="Q50">
        <v>4.8792800903320304</v>
      </c>
      <c r="R50">
        <v>4.5095291137695304</v>
      </c>
      <c r="S50">
        <v>4.2403411865234304</v>
      </c>
      <c r="T50">
        <v>4.2336578369140598</v>
      </c>
      <c r="U50">
        <v>3.75991439819335</v>
      </c>
      <c r="V50">
        <v>3.3624458312988201</v>
      </c>
      <c r="W50">
        <v>3.6301422119140598</v>
      </c>
      <c r="X50">
        <v>3.2804679870605402</v>
      </c>
      <c r="Y50">
        <v>3.2870216369628902</v>
      </c>
      <c r="AA50">
        <v>1</v>
      </c>
      <c r="AB50">
        <v>1.1553571960859232</v>
      </c>
      <c r="AC50">
        <v>1.0678044334606049</v>
      </c>
      <c r="AD50">
        <v>1.0040638399538953</v>
      </c>
      <c r="AE50">
        <v>1.0024812999229502</v>
      </c>
      <c r="AF50">
        <v>0.89030432280925942</v>
      </c>
      <c r="AG50">
        <v>0.79618835478162675</v>
      </c>
      <c r="AH50">
        <v>0.85957576726544804</v>
      </c>
      <c r="AI50">
        <v>0.7767769476668811</v>
      </c>
      <c r="AJ50">
        <v>0.77832877630453423</v>
      </c>
    </row>
    <row r="51" spans="2:36" x14ac:dyDescent="0.25">
      <c r="B51" t="s">
        <v>661</v>
      </c>
      <c r="C51">
        <v>4</v>
      </c>
      <c r="D51">
        <v>-55.33</v>
      </c>
      <c r="E51">
        <v>0.152299404144287</v>
      </c>
      <c r="F51">
        <v>1.3215682506561199</v>
      </c>
      <c r="G51">
        <v>2.55189061164856</v>
      </c>
      <c r="H51">
        <v>7.1874237060546804</v>
      </c>
      <c r="K51">
        <v>8.0209694250682393</v>
      </c>
      <c r="L51">
        <v>52.665796495626793</v>
      </c>
      <c r="P51">
        <v>6.0111579895019496</v>
      </c>
      <c r="Q51">
        <v>7.2533111572265598</v>
      </c>
      <c r="R51">
        <v>7.2015075683593697</v>
      </c>
      <c r="S51">
        <v>6.6213150024414</v>
      </c>
      <c r="T51">
        <v>7.2362556457519496</v>
      </c>
      <c r="U51">
        <v>6.5092506408691397</v>
      </c>
      <c r="V51">
        <v>6.7411193847656197</v>
      </c>
      <c r="W51">
        <v>6.4079322814941397</v>
      </c>
      <c r="X51">
        <v>6.3892555236816397</v>
      </c>
      <c r="Y51">
        <v>6.2071037292480398</v>
      </c>
      <c r="AA51">
        <v>1</v>
      </c>
      <c r="AB51">
        <v>1.2066412444813364</v>
      </c>
      <c r="AC51">
        <v>1.1980233394191733</v>
      </c>
      <c r="AD51">
        <v>1.1015040719284113</v>
      </c>
      <c r="AE51">
        <v>1.2038039356792058</v>
      </c>
      <c r="AF51">
        <v>1.0828613475535118</v>
      </c>
      <c r="AG51">
        <v>1.121434405240803</v>
      </c>
      <c r="AH51">
        <v>1.0660062990666903</v>
      </c>
      <c r="AI51">
        <v>1.0628992841046616</v>
      </c>
      <c r="AJ51">
        <v>1.0325970037866739</v>
      </c>
    </row>
    <row r="52" spans="2:36" x14ac:dyDescent="0.25">
      <c r="B52" t="s">
        <v>662</v>
      </c>
      <c r="C52">
        <v>5</v>
      </c>
      <c r="D52">
        <v>-60.66</v>
      </c>
      <c r="E52">
        <v>0.138376981019974</v>
      </c>
      <c r="F52">
        <v>1.1351443529128999</v>
      </c>
      <c r="G52">
        <v>2.0154542922973602</v>
      </c>
      <c r="H52">
        <v>7.32232666015625</v>
      </c>
      <c r="K52">
        <v>8.1050182706287668</v>
      </c>
      <c r="L52">
        <v>58.572012562254478</v>
      </c>
      <c r="P52">
        <v>7.1122932434081996</v>
      </c>
      <c r="Q52">
        <v>8.39898681640625</v>
      </c>
      <c r="R52">
        <v>8.3196868896484304</v>
      </c>
      <c r="S52">
        <v>8.4799957275390607</v>
      </c>
      <c r="T52">
        <v>7.7775344848632804</v>
      </c>
      <c r="U52">
        <v>7.39398193359375</v>
      </c>
      <c r="V52">
        <v>7.466796875</v>
      </c>
      <c r="W52">
        <v>7.24930572509765</v>
      </c>
      <c r="X52">
        <v>6.5791244506835902</v>
      </c>
      <c r="Y52">
        <v>6.3846130371093697</v>
      </c>
      <c r="AA52">
        <v>1</v>
      </c>
      <c r="AB52">
        <v>1.180911209502024</v>
      </c>
      <c r="AC52">
        <v>1.1697615107981192</v>
      </c>
      <c r="AD52">
        <v>1.1923011941891559</v>
      </c>
      <c r="AE52">
        <v>1.0935340007348036</v>
      </c>
      <c r="AF52">
        <v>1.0396058880792949</v>
      </c>
      <c r="AG52">
        <v>1.0498437872932702</v>
      </c>
      <c r="AH52">
        <v>1.0192641778116271</v>
      </c>
      <c r="AI52">
        <v>0.9250356004065553</v>
      </c>
      <c r="AJ52">
        <v>0.89768697923510721</v>
      </c>
    </row>
    <row r="53" spans="2:36" x14ac:dyDescent="0.25">
      <c r="B53" t="s">
        <v>663</v>
      </c>
      <c r="C53">
        <v>8</v>
      </c>
      <c r="D53">
        <v>-67.61</v>
      </c>
      <c r="E53">
        <v>0.12543371319770799</v>
      </c>
      <c r="F53">
        <v>1.69269907474517</v>
      </c>
      <c r="G53">
        <v>3.8265037536621</v>
      </c>
      <c r="H53">
        <v>6.1393775939941397</v>
      </c>
      <c r="K53">
        <v>6.6203072301310932</v>
      </c>
      <c r="L53">
        <v>52.779329108245392</v>
      </c>
      <c r="P53">
        <v>6.2216453552245996</v>
      </c>
      <c r="Q53">
        <v>6.2451896667480398</v>
      </c>
      <c r="R53">
        <v>6.8620567321777299</v>
      </c>
      <c r="S53">
        <v>6.8116874694824201</v>
      </c>
      <c r="T53">
        <v>6.8016548156738201</v>
      </c>
      <c r="U53">
        <v>6.5732955932617099</v>
      </c>
      <c r="V53">
        <v>5.9937896728515598</v>
      </c>
      <c r="W53">
        <v>6.2504386901855398</v>
      </c>
      <c r="X53">
        <v>5.9082717895507804</v>
      </c>
      <c r="Y53">
        <v>5.9122428894042898</v>
      </c>
      <c r="AA53">
        <v>1</v>
      </c>
      <c r="AB53">
        <v>1.0037842580505925</v>
      </c>
      <c r="AC53">
        <v>1.1029327999892098</v>
      </c>
      <c r="AD53">
        <v>1.0948369893443597</v>
      </c>
      <c r="AE53">
        <v>1.0932244490538439</v>
      </c>
      <c r="AF53">
        <v>1.0565204568823283</v>
      </c>
      <c r="AG53">
        <v>0.9633769414096065</v>
      </c>
      <c r="AH53">
        <v>1.0046279293204587</v>
      </c>
      <c r="AI53">
        <v>0.9496317215492418</v>
      </c>
      <c r="AJ53">
        <v>0.95026999320035332</v>
      </c>
    </row>
    <row r="56" spans="2:36" x14ac:dyDescent="0.25">
      <c r="E56">
        <f>AVERAGE(E3:E20)</f>
        <v>0.19711350000000005</v>
      </c>
      <c r="K56">
        <f>AVERAGE(K3:K20)</f>
        <v>12.201005080131809</v>
      </c>
      <c r="L56">
        <f>AVERAGE(L3:L20)</f>
        <v>57.896402859508463</v>
      </c>
    </row>
    <row r="58" spans="2:36" x14ac:dyDescent="0.25">
      <c r="E58">
        <f>AVERAGE(E22:E33)</f>
        <v>0.28761400530735654</v>
      </c>
      <c r="K58">
        <f>AVERAGE(K22:K33)</f>
        <v>28.842501842981765</v>
      </c>
      <c r="L58">
        <f>AVERAGE(L22:L33)</f>
        <v>106.45447030008539</v>
      </c>
    </row>
    <row r="60" spans="2:36" x14ac:dyDescent="0.25">
      <c r="E60">
        <f>AVERAGE(E35:E46)</f>
        <v>0.2217213871578374</v>
      </c>
      <c r="K60">
        <f>AVERAGE(K35:K46)</f>
        <v>11.207221845907744</v>
      </c>
      <c r="L60">
        <f>AVERAGE(L35:L46)</f>
        <v>58.685266520322045</v>
      </c>
    </row>
    <row r="62" spans="2:36" x14ac:dyDescent="0.25">
      <c r="E62">
        <f>AVERAGE(E48:E53)</f>
        <v>0.14507628728946068</v>
      </c>
      <c r="K62">
        <f>AVERAGE(K48:K53)</f>
        <v>8.026789017008733</v>
      </c>
      <c r="L62">
        <f>AVERAGE(L48:L53)</f>
        <v>54.95484145305003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1C88-7421-493B-AA7D-936737C99199}">
  <dimension ref="A1:S10"/>
  <sheetViews>
    <sheetView workbookViewId="0">
      <selection activeCell="K12" sqref="J12:K12"/>
    </sheetView>
  </sheetViews>
  <sheetFormatPr defaultRowHeight="15" x14ac:dyDescent="0.25"/>
  <cols>
    <col min="1" max="1" width="13.7109375" customWidth="1"/>
  </cols>
  <sheetData>
    <row r="1" spans="1:19" x14ac:dyDescent="0.25">
      <c r="A1" s="4" t="s">
        <v>2</v>
      </c>
      <c r="B1" s="5"/>
      <c r="K1" s="6"/>
    </row>
    <row r="2" spans="1:19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12"/>
      <c r="K2" s="12" t="s">
        <v>207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S2" s="26" t="s">
        <v>547</v>
      </c>
    </row>
    <row r="3" spans="1:19" x14ac:dyDescent="0.25">
      <c r="A3" s="9">
        <v>42703</v>
      </c>
      <c r="B3" t="s">
        <v>257</v>
      </c>
      <c r="C3">
        <v>1</v>
      </c>
      <c r="D3">
        <v>-59.58</v>
      </c>
      <c r="E3">
        <v>0.187305</v>
      </c>
      <c r="F3">
        <v>5.0294999999999996</v>
      </c>
      <c r="G3">
        <f t="shared" ref="G3:G8" si="0">F3/(1-(0.8*(F3/(ABS(D3)))))</f>
        <v>5.3937549949240768</v>
      </c>
      <c r="H3">
        <f t="shared" ref="H3:H7" si="1">G3/E3</f>
        <v>28.796641813748042</v>
      </c>
      <c r="I3">
        <f>AVERAGE(H3:H8)</f>
        <v>14.775814769792859</v>
      </c>
      <c r="K3" t="s">
        <v>258</v>
      </c>
      <c r="L3">
        <v>-54.63</v>
      </c>
      <c r="M3">
        <v>0.17980699999999999</v>
      </c>
      <c r="N3">
        <v>8.6866199999999996</v>
      </c>
      <c r="O3">
        <f t="shared" ref="O3:O8" si="2">N3/(1-(0.8*(N3/(ABS(L3)))))</f>
        <v>9.9526645118327117</v>
      </c>
      <c r="P3">
        <f t="shared" ref="P3:P8" si="3">O3/M3</f>
        <v>55.351930190886407</v>
      </c>
      <c r="S3">
        <f>P3/H3</f>
        <v>1.9221661521816888</v>
      </c>
    </row>
    <row r="4" spans="1:19" x14ac:dyDescent="0.25">
      <c r="B4" t="s">
        <v>259</v>
      </c>
      <c r="C4">
        <v>2</v>
      </c>
      <c r="D4">
        <v>-69.53</v>
      </c>
      <c r="E4">
        <v>0.40593000000000001</v>
      </c>
      <c r="F4">
        <v>0.97412100000000001</v>
      </c>
      <c r="G4">
        <f t="shared" si="0"/>
        <v>0.98516276892423127</v>
      </c>
      <c r="H4">
        <f t="shared" si="1"/>
        <v>2.4269277188782086</v>
      </c>
      <c r="K4" t="s">
        <v>260</v>
      </c>
      <c r="L4">
        <v>-60.59</v>
      </c>
      <c r="M4">
        <v>0.41004400000000002</v>
      </c>
      <c r="N4">
        <v>2.2422399999999998</v>
      </c>
      <c r="O4">
        <f t="shared" si="2"/>
        <v>2.3106476798639801</v>
      </c>
      <c r="P4">
        <f t="shared" si="3"/>
        <v>5.6351213037234542</v>
      </c>
      <c r="S4">
        <f t="shared" ref="S4:S8" si="4">P4/H4</f>
        <v>2.3219155889521748</v>
      </c>
    </row>
    <row r="5" spans="1:19" x14ac:dyDescent="0.25">
      <c r="B5" t="s">
        <v>261</v>
      </c>
      <c r="C5">
        <v>3</v>
      </c>
      <c r="D5">
        <v>-68.75</v>
      </c>
      <c r="E5">
        <v>0.19758500000000001</v>
      </c>
      <c r="F5">
        <v>3.54365</v>
      </c>
      <c r="G5">
        <f t="shared" si="0"/>
        <v>3.6960576775451082</v>
      </c>
      <c r="H5">
        <f t="shared" si="1"/>
        <v>18.706165334135221</v>
      </c>
      <c r="K5" t="s">
        <v>262</v>
      </c>
      <c r="L5">
        <v>-56.46</v>
      </c>
      <c r="M5">
        <v>0.10484</v>
      </c>
      <c r="N5">
        <v>5.7056699999999996</v>
      </c>
      <c r="O5">
        <f t="shared" si="2"/>
        <v>6.2075199520328015</v>
      </c>
      <c r="P5">
        <f t="shared" si="3"/>
        <v>59.209461579862662</v>
      </c>
      <c r="S5">
        <f t="shared" si="4"/>
        <v>3.1652377984608404</v>
      </c>
    </row>
    <row r="6" spans="1:19" x14ac:dyDescent="0.25">
      <c r="B6" t="s">
        <v>263</v>
      </c>
      <c r="C6">
        <v>4</v>
      </c>
      <c r="D6">
        <v>-61.15</v>
      </c>
      <c r="E6">
        <v>0.15998100000000001</v>
      </c>
      <c r="F6">
        <v>1.0141100000000001</v>
      </c>
      <c r="G6">
        <f t="shared" si="0"/>
        <v>1.0277452806748677</v>
      </c>
      <c r="H6">
        <f t="shared" si="1"/>
        <v>6.4241708745092705</v>
      </c>
      <c r="K6" t="s">
        <v>264</v>
      </c>
      <c r="L6">
        <v>-64.209999999999994</v>
      </c>
      <c r="M6">
        <v>8.6118399999999998E-2</v>
      </c>
      <c r="N6">
        <v>1.06908</v>
      </c>
      <c r="O6">
        <f t="shared" si="2"/>
        <v>1.0835121592172683</v>
      </c>
      <c r="P6">
        <f t="shared" si="3"/>
        <v>12.581656872599448</v>
      </c>
      <c r="S6">
        <f t="shared" si="4"/>
        <v>1.9584872691544861</v>
      </c>
    </row>
    <row r="7" spans="1:19" x14ac:dyDescent="0.25">
      <c r="B7" t="s">
        <v>265</v>
      </c>
      <c r="C7">
        <v>5</v>
      </c>
      <c r="D7">
        <v>-60.55</v>
      </c>
      <c r="E7">
        <v>0.136264</v>
      </c>
      <c r="F7">
        <v>2.7881100000000001</v>
      </c>
      <c r="G7">
        <f t="shared" si="0"/>
        <v>2.8947440523850747</v>
      </c>
      <c r="H7">
        <f t="shared" si="1"/>
        <v>21.243645074158067</v>
      </c>
      <c r="K7" t="s">
        <v>266</v>
      </c>
      <c r="L7">
        <v>-57.37</v>
      </c>
      <c r="M7">
        <v>0.17974499999999999</v>
      </c>
      <c r="N7">
        <v>3.88476</v>
      </c>
      <c r="O7">
        <f t="shared" si="2"/>
        <v>4.1072554016984792</v>
      </c>
      <c r="P7">
        <f t="shared" si="3"/>
        <v>22.850457045806447</v>
      </c>
      <c r="S7">
        <f t="shared" si="4"/>
        <v>1.0756373007569682</v>
      </c>
    </row>
    <row r="8" spans="1:19" x14ac:dyDescent="0.25">
      <c r="B8" t="s">
        <v>267</v>
      </c>
      <c r="C8">
        <v>6</v>
      </c>
      <c r="D8">
        <v>-58.58</v>
      </c>
      <c r="E8">
        <v>0.16822699999999999</v>
      </c>
      <c r="F8">
        <v>1.81406</v>
      </c>
      <c r="G8">
        <f t="shared" si="0"/>
        <v>1.8601427666405175</v>
      </c>
      <c r="H8">
        <f>G8/E8</f>
        <v>11.057337803328346</v>
      </c>
      <c r="K8" t="s">
        <v>268</v>
      </c>
      <c r="L8">
        <v>-69.77</v>
      </c>
      <c r="M8">
        <v>0.134238</v>
      </c>
      <c r="N8">
        <v>3.3646600000000002</v>
      </c>
      <c r="O8">
        <f t="shared" si="2"/>
        <v>3.4996776333176864</v>
      </c>
      <c r="P8">
        <f t="shared" si="3"/>
        <v>26.070692600587662</v>
      </c>
      <c r="S8">
        <f t="shared" si="4"/>
        <v>2.357773006875143</v>
      </c>
    </row>
    <row r="10" spans="1:19" x14ac:dyDescent="0.25">
      <c r="E10">
        <f>AVERAGE(E3:E8)</f>
        <v>0.20921533333333331</v>
      </c>
      <c r="G10">
        <f>AVERAGE(G3:G8)</f>
        <v>2.6429345901823127</v>
      </c>
      <c r="H10">
        <f>AVERAGE(H3:H8)</f>
        <v>14.775814769792859</v>
      </c>
      <c r="M10">
        <f>AVERAGE(M3:M8)</f>
        <v>0.18246540000000003</v>
      </c>
      <c r="O10">
        <f>AVERAGE(O3:O8)</f>
        <v>4.5268795563271551</v>
      </c>
      <c r="P10">
        <f>AVERAGE(P3:P8)</f>
        <v>30.28321993224435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C101-B0A6-4009-B050-FF4C6DDB20D4}">
  <dimension ref="A1:AJ66"/>
  <sheetViews>
    <sheetView workbookViewId="0">
      <selection activeCell="M67" sqref="M32:M67"/>
    </sheetView>
  </sheetViews>
  <sheetFormatPr defaultRowHeight="15" x14ac:dyDescent="0.25"/>
  <cols>
    <col min="1" max="1" width="9.7109375" bestFit="1" customWidth="1"/>
  </cols>
  <sheetData>
    <row r="1" spans="1:36" x14ac:dyDescent="0.25">
      <c r="A1" s="4" t="s">
        <v>2</v>
      </c>
      <c r="P1" t="s">
        <v>470</v>
      </c>
      <c r="AA1" t="s">
        <v>471</v>
      </c>
    </row>
    <row r="2" spans="1:36" ht="45" x14ac:dyDescent="0.25">
      <c r="A2" s="7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596</v>
      </c>
      <c r="G2" s="7" t="s">
        <v>553</v>
      </c>
      <c r="H2" s="7" t="s">
        <v>8</v>
      </c>
      <c r="I2" s="7" t="s">
        <v>596</v>
      </c>
      <c r="J2" s="7" t="s">
        <v>553</v>
      </c>
      <c r="K2" s="7" t="s">
        <v>9</v>
      </c>
      <c r="L2" s="7" t="s">
        <v>10</v>
      </c>
      <c r="M2" s="26" t="s">
        <v>11</v>
      </c>
      <c r="N2" s="26" t="s">
        <v>664</v>
      </c>
      <c r="P2" t="s">
        <v>395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AA2" t="s">
        <v>395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</row>
    <row r="3" spans="1:36" x14ac:dyDescent="0.25">
      <c r="A3" s="9">
        <v>43687</v>
      </c>
      <c r="B3" t="s">
        <v>313</v>
      </c>
      <c r="D3">
        <v>-70.930000000000007</v>
      </c>
      <c r="E3">
        <v>0.23753525316715199</v>
      </c>
      <c r="H3">
        <v>16.233024597167901</v>
      </c>
      <c r="K3">
        <f t="shared" ref="K3:K12" si="0">H3/(1-(0.8*(H3/(ABS(D3)))))</f>
        <v>19.871199333443219</v>
      </c>
      <c r="L3" s="10">
        <f>K3/E3</f>
        <v>83.655790323720865</v>
      </c>
      <c r="M3">
        <f>3.02/E3</f>
        <v>12.713902293378094</v>
      </c>
    </row>
    <row r="4" spans="1:36" x14ac:dyDescent="0.25">
      <c r="A4" s="9">
        <v>43687</v>
      </c>
      <c r="B4" t="s">
        <v>314</v>
      </c>
      <c r="D4">
        <v>-80.41</v>
      </c>
      <c r="E4">
        <v>0.26816800236701999</v>
      </c>
      <c r="H4">
        <v>18.562583923339801</v>
      </c>
      <c r="K4">
        <f t="shared" si="0"/>
        <v>22.767219369076013</v>
      </c>
      <c r="L4" s="10">
        <f>K4/E4</f>
        <v>84.899090003722179</v>
      </c>
      <c r="M4">
        <f>1.18/E4</f>
        <v>4.4002266847072562</v>
      </c>
    </row>
    <row r="5" spans="1:36" x14ac:dyDescent="0.25">
      <c r="A5" s="9">
        <v>43687</v>
      </c>
      <c r="B5" t="s">
        <v>315</v>
      </c>
      <c r="D5">
        <v>-56.52</v>
      </c>
      <c r="E5">
        <v>0.20860600471496599</v>
      </c>
      <c r="H5">
        <v>13.4317512512207</v>
      </c>
      <c r="K5">
        <f t="shared" si="0"/>
        <v>16.584800245550813</v>
      </c>
      <c r="L5">
        <f>K5/E5</f>
        <v>79.502985871436763</v>
      </c>
      <c r="M5">
        <f>1.7/E5</f>
        <v>8.1493339672692411</v>
      </c>
    </row>
    <row r="6" spans="1:36" x14ac:dyDescent="0.25">
      <c r="A6" s="9">
        <v>43687</v>
      </c>
      <c r="B6" t="s">
        <v>316</v>
      </c>
      <c r="D6">
        <v>-51.92</v>
      </c>
      <c r="E6">
        <v>0.319809049367905</v>
      </c>
      <c r="H6">
        <v>16.951084136962798</v>
      </c>
      <c r="K6">
        <f t="shared" si="0"/>
        <v>22.943696237706778</v>
      </c>
      <c r="L6">
        <f t="shared" ref="L6:L12" si="1">K6/E6</f>
        <v>71.741860597923818</v>
      </c>
      <c r="M6">
        <f>2.01/E6</f>
        <v>6.2850003899912057</v>
      </c>
    </row>
    <row r="7" spans="1:36" x14ac:dyDescent="0.25">
      <c r="A7" s="9">
        <v>43687</v>
      </c>
      <c r="B7" t="s">
        <v>317</v>
      </c>
      <c r="D7">
        <v>-60</v>
      </c>
      <c r="E7">
        <v>0.154744282364845</v>
      </c>
      <c r="H7">
        <v>11.6495094299316</v>
      </c>
      <c r="K7">
        <f t="shared" si="0"/>
        <v>13.791735460651328</v>
      </c>
      <c r="L7">
        <f t="shared" si="1"/>
        <v>89.125977709044918</v>
      </c>
      <c r="M7">
        <f>0.94/E7</f>
        <v>6.0745378480849794</v>
      </c>
    </row>
    <row r="8" spans="1:36" x14ac:dyDescent="0.25">
      <c r="A8" s="9">
        <v>43687</v>
      </c>
      <c r="B8" t="s">
        <v>318</v>
      </c>
      <c r="D8">
        <v>-51.86</v>
      </c>
      <c r="E8">
        <v>0.42511036992073098</v>
      </c>
      <c r="H8">
        <v>16.3695259094238</v>
      </c>
      <c r="K8">
        <f t="shared" si="0"/>
        <v>21.899579706821505</v>
      </c>
      <c r="L8">
        <f t="shared" si="1"/>
        <v>51.51504469511071</v>
      </c>
      <c r="M8">
        <f>1.99/E8</f>
        <v>4.6811372782345186</v>
      </c>
    </row>
    <row r="9" spans="1:36" x14ac:dyDescent="0.25">
      <c r="A9" s="9">
        <v>43687</v>
      </c>
      <c r="B9" t="s">
        <v>319</v>
      </c>
      <c r="D9">
        <v>-61.51</v>
      </c>
      <c r="E9">
        <v>0.27331504225730902</v>
      </c>
      <c r="H9">
        <v>21.754692077636701</v>
      </c>
      <c r="K9">
        <f t="shared" si="0"/>
        <v>30.338811864519894</v>
      </c>
      <c r="L9">
        <f t="shared" si="1"/>
        <v>111.00308133043698</v>
      </c>
      <c r="M9">
        <f>1.01/E9</f>
        <v>3.6953692400477109</v>
      </c>
    </row>
    <row r="10" spans="1:36" x14ac:dyDescent="0.25">
      <c r="A10" s="9">
        <v>43687</v>
      </c>
      <c r="B10" t="s">
        <v>320</v>
      </c>
      <c r="D10">
        <v>-60.25</v>
      </c>
      <c r="E10">
        <v>0.21763214468955999</v>
      </c>
      <c r="H10">
        <v>17.105705261230401</v>
      </c>
      <c r="K10">
        <f t="shared" si="0"/>
        <v>22.132698308988637</v>
      </c>
      <c r="L10">
        <f t="shared" si="1"/>
        <v>101.69774479114602</v>
      </c>
      <c r="M10">
        <f>2.15/E10</f>
        <v>9.8790553347110279</v>
      </c>
    </row>
    <row r="11" spans="1:36" x14ac:dyDescent="0.25">
      <c r="A11" s="9">
        <v>43687</v>
      </c>
      <c r="B11" t="s">
        <v>321</v>
      </c>
      <c r="D11">
        <v>-55.34</v>
      </c>
      <c r="E11">
        <v>0.21003635227680201</v>
      </c>
      <c r="H11">
        <v>17.757003784179599</v>
      </c>
      <c r="K11">
        <f t="shared" si="0"/>
        <v>23.88931555432114</v>
      </c>
      <c r="L11">
        <f t="shared" si="1"/>
        <v>113.73895659184734</v>
      </c>
      <c r="M11">
        <f>2.1/E11</f>
        <v>9.9982692388051913</v>
      </c>
    </row>
    <row r="12" spans="1:36" x14ac:dyDescent="0.25">
      <c r="A12" s="9">
        <v>43687</v>
      </c>
      <c r="B12" t="s">
        <v>322</v>
      </c>
      <c r="D12">
        <v>-60.66</v>
      </c>
      <c r="E12">
        <v>0.23261007666587799</v>
      </c>
      <c r="H12">
        <v>15.7574615478515</v>
      </c>
      <c r="K12">
        <f t="shared" si="0"/>
        <v>19.891101793985765</v>
      </c>
      <c r="L12" s="10">
        <f t="shared" si="1"/>
        <v>85.512640204996018</v>
      </c>
      <c r="M12">
        <f>1.35/E12</f>
        <v>5.8037038607710247</v>
      </c>
    </row>
    <row r="13" spans="1:36" s="11" customFormat="1" ht="20.25" thickBot="1" x14ac:dyDescent="0.35"/>
    <row r="14" spans="1:36" ht="15.75" thickTop="1" x14ac:dyDescent="0.25">
      <c r="A14" s="9">
        <v>43688</v>
      </c>
      <c r="B14" t="s">
        <v>323</v>
      </c>
      <c r="D14">
        <v>-61.82</v>
      </c>
      <c r="E14">
        <v>0.22721838951110801</v>
      </c>
      <c r="H14">
        <v>13.6022987365722</v>
      </c>
      <c r="K14">
        <f t="shared" ref="K14:K31" si="2">H14/(1-(0.8*(H14/(ABS(D14)))))</f>
        <v>16.508136360037792</v>
      </c>
      <c r="L14">
        <f>K14/E14</f>
        <v>72.653170351032529</v>
      </c>
    </row>
    <row r="15" spans="1:36" x14ac:dyDescent="0.25">
      <c r="A15" s="9">
        <v>43688</v>
      </c>
      <c r="B15" t="s">
        <v>324</v>
      </c>
      <c r="D15">
        <v>-75.19</v>
      </c>
      <c r="E15">
        <v>0.24687279760837599</v>
      </c>
      <c r="H15">
        <v>18.5998840332031</v>
      </c>
      <c r="K15">
        <f t="shared" si="2"/>
        <v>23.188909453518466</v>
      </c>
      <c r="L15">
        <f>K15/E15</f>
        <v>93.93059777409718</v>
      </c>
    </row>
    <row r="16" spans="1:36" x14ac:dyDescent="0.25">
      <c r="A16" s="9">
        <v>43688</v>
      </c>
      <c r="B16" t="s">
        <v>325</v>
      </c>
      <c r="D16">
        <v>-73.91</v>
      </c>
      <c r="E16">
        <v>0.505864858627319</v>
      </c>
      <c r="H16">
        <v>23.3941040039062</v>
      </c>
      <c r="K16">
        <f t="shared" si="2"/>
        <v>31.326516871024172</v>
      </c>
      <c r="L16">
        <f>K16/E16</f>
        <v>61.926651627926297</v>
      </c>
    </row>
    <row r="17" spans="1:12" x14ac:dyDescent="0.25">
      <c r="A17" s="9">
        <v>43688</v>
      </c>
      <c r="B17" t="s">
        <v>326</v>
      </c>
      <c r="D17">
        <f>73.86</f>
        <v>73.86</v>
      </c>
      <c r="E17">
        <v>0.19902364909648901</v>
      </c>
      <c r="H17">
        <v>13.5709</v>
      </c>
      <c r="K17">
        <f t="shared" si="2"/>
        <v>15.909436365852697</v>
      </c>
      <c r="L17">
        <f t="shared" ref="L17:L31" si="3">K17/E17</f>
        <v>79.937416674234598</v>
      </c>
    </row>
    <row r="18" spans="1:12" x14ac:dyDescent="0.25">
      <c r="A18" s="9">
        <v>43688</v>
      </c>
      <c r="B18" t="s">
        <v>327</v>
      </c>
      <c r="D18">
        <v>-62.2</v>
      </c>
      <c r="E18">
        <v>0.256916284561157</v>
      </c>
      <c r="H18">
        <v>19.9258117675781</v>
      </c>
      <c r="K18">
        <f t="shared" si="2"/>
        <v>26.792107460326545</v>
      </c>
      <c r="L18">
        <f t="shared" si="3"/>
        <v>104.28341475547411</v>
      </c>
    </row>
    <row r="19" spans="1:12" x14ac:dyDescent="0.25">
      <c r="A19" s="9">
        <v>43688</v>
      </c>
      <c r="B19" t="s">
        <v>328</v>
      </c>
      <c r="D19">
        <v>-65.23</v>
      </c>
      <c r="E19">
        <v>0.31601527333259599</v>
      </c>
      <c r="H19">
        <v>21.899547576904201</v>
      </c>
      <c r="K19">
        <f t="shared" si="2"/>
        <v>29.941241910584264</v>
      </c>
      <c r="L19">
        <f t="shared" si="3"/>
        <v>94.746186141047886</v>
      </c>
    </row>
    <row r="20" spans="1:12" x14ac:dyDescent="0.25">
      <c r="A20" s="9">
        <v>43688</v>
      </c>
      <c r="B20" t="s">
        <v>329</v>
      </c>
      <c r="D20">
        <v>-66.8</v>
      </c>
      <c r="E20">
        <v>0.31142967939376798</v>
      </c>
      <c r="H20">
        <v>17.628582000732401</v>
      </c>
      <c r="K20">
        <f t="shared" si="2"/>
        <v>22.346362683091503</v>
      </c>
      <c r="L20">
        <f t="shared" si="3"/>
        <v>71.754120309249743</v>
      </c>
    </row>
    <row r="21" spans="1:12" x14ac:dyDescent="0.25">
      <c r="A21" s="9">
        <v>43688</v>
      </c>
      <c r="B21" t="s">
        <v>330</v>
      </c>
      <c r="D21">
        <v>-70.040000000000006</v>
      </c>
      <c r="E21">
        <v>0.18062484264373799</v>
      </c>
      <c r="H21">
        <v>14.2938537597656</v>
      </c>
      <c r="K21">
        <f t="shared" si="2"/>
        <v>17.082892847838046</v>
      </c>
      <c r="L21">
        <f t="shared" si="3"/>
        <v>94.576651792755413</v>
      </c>
    </row>
    <row r="22" spans="1:12" x14ac:dyDescent="0.25">
      <c r="A22" s="9">
        <v>43688</v>
      </c>
      <c r="B22" t="s">
        <v>331</v>
      </c>
      <c r="D22">
        <v>-67</v>
      </c>
      <c r="E22">
        <v>8.2048714160918995E-2</v>
      </c>
      <c r="H22">
        <v>7.2331428527831996</v>
      </c>
      <c r="K22">
        <f t="shared" si="2"/>
        <v>7.9168922575465084</v>
      </c>
      <c r="L22">
        <f t="shared" si="3"/>
        <v>96.490144160204764</v>
      </c>
    </row>
    <row r="23" spans="1:12" x14ac:dyDescent="0.25">
      <c r="A23" s="9">
        <v>43688</v>
      </c>
      <c r="B23" t="s">
        <v>332</v>
      </c>
      <c r="D23">
        <v>-68.040000000000006</v>
      </c>
      <c r="E23">
        <v>0.12105542421340899</v>
      </c>
      <c r="H23">
        <v>9.0963172912597603</v>
      </c>
      <c r="K23">
        <f t="shared" si="2"/>
        <v>10.185704735191427</v>
      </c>
      <c r="L23">
        <f t="shared" si="3"/>
        <v>84.140837152699703</v>
      </c>
    </row>
    <row r="24" spans="1:12" x14ac:dyDescent="0.25">
      <c r="A24" s="9">
        <v>43688</v>
      </c>
      <c r="B24" t="s">
        <v>333</v>
      </c>
      <c r="D24">
        <v>-60.67</v>
      </c>
      <c r="E24">
        <v>0.27339032292366</v>
      </c>
      <c r="H24">
        <v>20.173576354980401</v>
      </c>
      <c r="K24">
        <f t="shared" si="2"/>
        <v>27.48483212533495</v>
      </c>
      <c r="L24">
        <f t="shared" si="3"/>
        <v>100.53330283021636</v>
      </c>
    </row>
    <row r="25" spans="1:12" x14ac:dyDescent="0.25">
      <c r="A25" s="9">
        <v>43688</v>
      </c>
      <c r="B25" t="s">
        <v>334</v>
      </c>
      <c r="D25">
        <v>-65.760000000000005</v>
      </c>
      <c r="E25">
        <v>0.31201973557472201</v>
      </c>
      <c r="H25">
        <v>23.038150787353501</v>
      </c>
      <c r="K25">
        <f t="shared" si="2"/>
        <v>32.0094118071558</v>
      </c>
      <c r="L25">
        <f t="shared" si="3"/>
        <v>102.58777941785107</v>
      </c>
    </row>
    <row r="26" spans="1:12" x14ac:dyDescent="0.25">
      <c r="A26" s="9">
        <v>43688</v>
      </c>
      <c r="B26" t="s">
        <v>335</v>
      </c>
      <c r="D26">
        <v>-66.12</v>
      </c>
      <c r="E26">
        <v>0.17191213369369501</v>
      </c>
      <c r="H26">
        <v>13.8018</v>
      </c>
      <c r="K26">
        <f t="shared" si="2"/>
        <v>16.568607022405814</v>
      </c>
      <c r="L26">
        <f t="shared" si="3"/>
        <v>96.378345532764911</v>
      </c>
    </row>
    <row r="27" spans="1:12" x14ac:dyDescent="0.25">
      <c r="A27" s="9">
        <v>43688</v>
      </c>
      <c r="B27" t="s">
        <v>336</v>
      </c>
      <c r="D27">
        <v>-69.38</v>
      </c>
      <c r="E27">
        <v>0.21388906240463301</v>
      </c>
      <c r="H27">
        <v>13.231330871581999</v>
      </c>
      <c r="K27">
        <f t="shared" si="2"/>
        <v>15.613415188632171</v>
      </c>
      <c r="L27">
        <f t="shared" si="3"/>
        <v>72.997726078647631</v>
      </c>
    </row>
    <row r="28" spans="1:12" x14ac:dyDescent="0.25">
      <c r="A28" s="9">
        <v>43688</v>
      </c>
      <c r="B28" t="s">
        <v>337</v>
      </c>
      <c r="D28">
        <v>-71.069999999999993</v>
      </c>
      <c r="E28">
        <v>0.23004123568534901</v>
      </c>
      <c r="H28">
        <v>20.3265686035156</v>
      </c>
      <c r="K28">
        <f t="shared" si="2"/>
        <v>26.357276152977231</v>
      </c>
      <c r="L28">
        <f t="shared" si="3"/>
        <v>114.57631095769622</v>
      </c>
    </row>
    <row r="29" spans="1:12" x14ac:dyDescent="0.25">
      <c r="A29" s="9">
        <v>43688</v>
      </c>
      <c r="B29" t="s">
        <v>338</v>
      </c>
      <c r="D29">
        <v>-66.69</v>
      </c>
      <c r="E29">
        <v>0.14338216185569799</v>
      </c>
      <c r="H29">
        <v>13.6721839904785</v>
      </c>
      <c r="K29">
        <f t="shared" si="2"/>
        <v>16.354459316134324</v>
      </c>
      <c r="L29">
        <f t="shared" si="3"/>
        <v>114.06202211258122</v>
      </c>
    </row>
    <row r="30" spans="1:12" x14ac:dyDescent="0.25">
      <c r="A30" s="9">
        <v>43688</v>
      </c>
      <c r="B30" t="s">
        <v>339</v>
      </c>
      <c r="D30">
        <v>-62.74</v>
      </c>
      <c r="E30">
        <v>0.339571982622147</v>
      </c>
      <c r="H30">
        <v>21.750747680663999</v>
      </c>
      <c r="K30">
        <f t="shared" si="2"/>
        <v>30.098365960693794</v>
      </c>
      <c r="L30">
        <f t="shared" si="3"/>
        <v>88.636187615587957</v>
      </c>
    </row>
    <row r="31" spans="1:12" x14ac:dyDescent="0.25">
      <c r="A31" s="9">
        <v>43688</v>
      </c>
      <c r="B31" t="s">
        <v>340</v>
      </c>
      <c r="D31">
        <v>-66.95</v>
      </c>
      <c r="E31">
        <v>0.152715444564819</v>
      </c>
      <c r="H31">
        <v>11.350170135498001</v>
      </c>
      <c r="K31">
        <f t="shared" si="2"/>
        <v>13.131081351685557</v>
      </c>
      <c r="L31">
        <f t="shared" si="3"/>
        <v>85.98397751520254</v>
      </c>
    </row>
    <row r="33" spans="1:36" x14ac:dyDescent="0.25">
      <c r="A33" t="s">
        <v>677</v>
      </c>
      <c r="B33" t="s">
        <v>665</v>
      </c>
      <c r="C33">
        <v>1</v>
      </c>
      <c r="D33">
        <v>-63.27</v>
      </c>
      <c r="E33">
        <v>0.13814507424831399</v>
      </c>
      <c r="F33">
        <v>0.74929654598236095</v>
      </c>
      <c r="G33">
        <v>3.1056504249572701</v>
      </c>
      <c r="H33">
        <v>14.603004455566399</v>
      </c>
      <c r="K33">
        <f t="shared" ref="K33:K44" si="4">H33/(1-(0.8*(H33/(ABS(D33)))))</f>
        <v>17.909965878290905</v>
      </c>
      <c r="L33">
        <f t="shared" ref="L33:L44" si="5">K33/E33</f>
        <v>129.64606936399318</v>
      </c>
      <c r="P33">
        <v>15.485836029052701</v>
      </c>
      <c r="Q33">
        <v>16.388912200927699</v>
      </c>
      <c r="R33">
        <v>17.978263854980401</v>
      </c>
      <c r="S33">
        <v>17.684764862060501</v>
      </c>
      <c r="T33">
        <v>16.3049507141113</v>
      </c>
      <c r="U33">
        <v>15.2441101074218</v>
      </c>
      <c r="V33">
        <v>15.5628662109375</v>
      </c>
      <c r="W33">
        <v>14.9325447082519</v>
      </c>
      <c r="X33">
        <v>14.176021575927701</v>
      </c>
      <c r="Y33">
        <v>12.93017578125</v>
      </c>
      <c r="AA33">
        <f>P33/P33</f>
        <v>1</v>
      </c>
      <c r="AB33">
        <f>Q33/P33</f>
        <v>1.0583162685037315</v>
      </c>
      <c r="AC33">
        <f>R33/P33</f>
        <v>1.1609488710361973</v>
      </c>
      <c r="AD33">
        <f>S33/P33</f>
        <v>1.1419961330394064</v>
      </c>
      <c r="AE33">
        <f>T33/P33</f>
        <v>1.0528944438984031</v>
      </c>
      <c r="AF33">
        <f>U33/P33</f>
        <v>0.98439051523098897</v>
      </c>
      <c r="AG33">
        <f>V33/P33</f>
        <v>1.0049742346322332</v>
      </c>
      <c r="AH33">
        <f>W33/P33</f>
        <v>0.96427113655583196</v>
      </c>
      <c r="AI33">
        <f>X33/P33</f>
        <v>0.9154185508184588</v>
      </c>
      <c r="AJ33">
        <f>Y33/P33</f>
        <v>0.83496788658952137</v>
      </c>
    </row>
    <row r="34" spans="1:36" x14ac:dyDescent="0.25">
      <c r="B34" t="s">
        <v>666</v>
      </c>
      <c r="C34">
        <v>2</v>
      </c>
      <c r="D34">
        <v>-79.98</v>
      </c>
      <c r="E34">
        <v>0.16963781416416199</v>
      </c>
      <c r="F34">
        <v>1.1230210065841599</v>
      </c>
      <c r="G34">
        <v>3.4715874195098801</v>
      </c>
      <c r="H34">
        <v>11.608482360839799</v>
      </c>
      <c r="K34">
        <f t="shared" si="4"/>
        <v>13.13345886010846</v>
      </c>
      <c r="L34">
        <f t="shared" si="5"/>
        <v>77.420585291195408</v>
      </c>
      <c r="P34">
        <v>11.0664291381835</v>
      </c>
      <c r="Q34">
        <v>12.5562133789062</v>
      </c>
      <c r="R34">
        <v>13.172813415527299</v>
      </c>
      <c r="S34">
        <v>14.3461151123046</v>
      </c>
      <c r="T34">
        <v>11.5508728027343</v>
      </c>
      <c r="U34">
        <v>10.980766296386699</v>
      </c>
      <c r="V34">
        <v>12.0270843505859</v>
      </c>
      <c r="W34">
        <v>11.1297454833984</v>
      </c>
      <c r="X34">
        <v>9.9468536376953107</v>
      </c>
      <c r="Y34">
        <v>9.9020767211913991</v>
      </c>
      <c r="AA34">
        <f t="shared" ref="AA34:AA44" si="6">P34/P34</f>
        <v>1</v>
      </c>
      <c r="AB34">
        <f t="shared" ref="AB34:AB44" si="7">Q34/P34</f>
        <v>1.1346219473436434</v>
      </c>
      <c r="AC34">
        <f t="shared" ref="AC34:AC44" si="8">R34/P34</f>
        <v>1.1903400140227665</v>
      </c>
      <c r="AD34">
        <f t="shared" ref="AD34:AD44" si="9">S34/P34</f>
        <v>1.2963635273102598</v>
      </c>
      <c r="AE34">
        <f t="shared" ref="AE34:AE44" si="10">T34/P34</f>
        <v>1.0437759695111841</v>
      </c>
      <c r="AF34">
        <f t="shared" ref="AF34:AF44" si="11">U34/P34</f>
        <v>0.99225921562166519</v>
      </c>
      <c r="AG34">
        <f t="shared" ref="AG34:AG44" si="12">V34/P34</f>
        <v>1.0868080570893248</v>
      </c>
      <c r="AH34">
        <f t="shared" ref="AH34:AH44" si="13">W34/P34</f>
        <v>1.0057214792978193</v>
      </c>
      <c r="AI34">
        <f t="shared" ref="AI34:AI44" si="14">X34/P34</f>
        <v>0.89883136768795491</v>
      </c>
      <c r="AJ34">
        <f t="shared" ref="AJ34:AJ44" si="15">Y34/P34</f>
        <v>0.89478517392980628</v>
      </c>
    </row>
    <row r="35" spans="1:36" x14ac:dyDescent="0.25">
      <c r="B35" t="s">
        <v>667</v>
      </c>
      <c r="C35">
        <v>3</v>
      </c>
      <c r="D35">
        <v>-65.48</v>
      </c>
      <c r="E35">
        <v>0.11415427923202499</v>
      </c>
      <c r="F35">
        <v>1.02103972434997</v>
      </c>
      <c r="G35">
        <v>1.81459271907806</v>
      </c>
      <c r="H35">
        <v>6.6059494018554599</v>
      </c>
      <c r="K35">
        <f t="shared" si="4"/>
        <v>7.1859097728479089</v>
      </c>
      <c r="L35">
        <f t="shared" si="5"/>
        <v>62.949105554266112</v>
      </c>
      <c r="P35">
        <v>6.8341712951660103</v>
      </c>
      <c r="Q35">
        <v>7.3122863769531197</v>
      </c>
      <c r="R35">
        <v>7.4332237243652299</v>
      </c>
      <c r="S35">
        <v>7.2795372009277299</v>
      </c>
      <c r="T35">
        <v>6.8192787170410103</v>
      </c>
      <c r="U35">
        <v>6.8172607421875</v>
      </c>
      <c r="V35">
        <v>6.4047355651855398</v>
      </c>
      <c r="W35">
        <v>6.0984954833984304</v>
      </c>
      <c r="X35">
        <v>5.9328117370605398</v>
      </c>
      <c r="Y35">
        <v>5.8394012451171804</v>
      </c>
      <c r="AA35">
        <f t="shared" si="6"/>
        <v>1</v>
      </c>
      <c r="AB35">
        <f t="shared" si="7"/>
        <v>1.0699594817187701</v>
      </c>
      <c r="AC35">
        <f t="shared" si="8"/>
        <v>1.0876554600881814</v>
      </c>
      <c r="AD35">
        <f t="shared" si="9"/>
        <v>1.0651675070065538</v>
      </c>
      <c r="AE35">
        <f t="shared" si="10"/>
        <v>0.99782086554729266</v>
      </c>
      <c r="AF35">
        <f t="shared" si="11"/>
        <v>0.99752558836351213</v>
      </c>
      <c r="AG35">
        <f t="shared" si="12"/>
        <v>0.93716345238753063</v>
      </c>
      <c r="AH35">
        <f t="shared" si="13"/>
        <v>0.89235332566394077</v>
      </c>
      <c r="AI35">
        <f t="shared" si="14"/>
        <v>0.86810989669763972</v>
      </c>
      <c r="AJ35">
        <f t="shared" si="15"/>
        <v>0.85444174471417522</v>
      </c>
    </row>
    <row r="36" spans="1:36" x14ac:dyDescent="0.25">
      <c r="B36" t="s">
        <v>668</v>
      </c>
      <c r="C36">
        <v>4</v>
      </c>
      <c r="D36">
        <v>-76.89</v>
      </c>
      <c r="E36">
        <v>0.20481368899345401</v>
      </c>
      <c r="F36">
        <v>1.1839343309402399</v>
      </c>
      <c r="G36">
        <v>2.98979616165161</v>
      </c>
      <c r="H36">
        <v>14.557765960693301</v>
      </c>
      <c r="K36">
        <f t="shared" si="4"/>
        <v>17.156371084758543</v>
      </c>
      <c r="L36">
        <f t="shared" si="5"/>
        <v>83.765744218917291</v>
      </c>
      <c r="P36">
        <v>13.958995819091699</v>
      </c>
      <c r="Q36">
        <v>15.9999389648437</v>
      </c>
      <c r="R36">
        <v>16.351680755615199</v>
      </c>
      <c r="S36">
        <v>15.7039031982421</v>
      </c>
      <c r="T36">
        <v>15.5707130432128</v>
      </c>
      <c r="U36">
        <v>14.620311737060501</v>
      </c>
      <c r="V36">
        <v>15.2378540039062</v>
      </c>
      <c r="W36">
        <v>14.598648071289</v>
      </c>
      <c r="X36">
        <v>14.266841888427701</v>
      </c>
      <c r="Y36">
        <v>13.1775093078613</v>
      </c>
      <c r="AA36">
        <f t="shared" si="6"/>
        <v>1</v>
      </c>
      <c r="AB36">
        <f t="shared" si="7"/>
        <v>1.1462098830175595</v>
      </c>
      <c r="AC36">
        <f t="shared" si="8"/>
        <v>1.1714080989444118</v>
      </c>
      <c r="AD36">
        <f t="shared" si="9"/>
        <v>1.1250023570294285</v>
      </c>
      <c r="AE36">
        <f t="shared" si="10"/>
        <v>1.1154608286304346</v>
      </c>
      <c r="AF36">
        <f t="shared" si="11"/>
        <v>1.0473756082843955</v>
      </c>
      <c r="AG36">
        <f t="shared" si="12"/>
        <v>1.0916153426355646</v>
      </c>
      <c r="AH36">
        <f t="shared" si="13"/>
        <v>1.0458236581260703</v>
      </c>
      <c r="AI36">
        <f t="shared" si="14"/>
        <v>1.022053597072861</v>
      </c>
      <c r="AJ36">
        <f t="shared" si="15"/>
        <v>0.9440155637727492</v>
      </c>
    </row>
    <row r="37" spans="1:36" x14ac:dyDescent="0.25">
      <c r="B37" t="s">
        <v>669</v>
      </c>
      <c r="C37">
        <v>5</v>
      </c>
      <c r="D37">
        <v>-81.99</v>
      </c>
      <c r="E37">
        <v>0.21086801588535301</v>
      </c>
      <c r="F37">
        <v>1.5059844255447301</v>
      </c>
      <c r="G37">
        <v>3.9015619754791202</v>
      </c>
      <c r="H37">
        <v>13.5523376464843</v>
      </c>
      <c r="K37">
        <f t="shared" si="4"/>
        <v>15.617503446196309</v>
      </c>
      <c r="L37">
        <f t="shared" si="5"/>
        <v>74.062931642925889</v>
      </c>
      <c r="P37">
        <v>13.6111602783203</v>
      </c>
      <c r="Q37">
        <v>14.4790802001953</v>
      </c>
      <c r="R37">
        <v>15.8987274169921</v>
      </c>
      <c r="S37">
        <v>15.008216857910099</v>
      </c>
      <c r="T37">
        <v>14.4212799072265</v>
      </c>
      <c r="U37">
        <v>13.4533386230468</v>
      </c>
      <c r="V37">
        <v>12.548149108886699</v>
      </c>
      <c r="W37">
        <v>12.4254760742187</v>
      </c>
      <c r="X37">
        <v>12.107063293456999</v>
      </c>
      <c r="Y37">
        <v>11.54248046875</v>
      </c>
      <c r="AA37">
        <f t="shared" si="6"/>
        <v>1</v>
      </c>
      <c r="AB37">
        <f t="shared" si="7"/>
        <v>1.0637653149421371</v>
      </c>
      <c r="AC37">
        <f t="shared" si="8"/>
        <v>1.1680655500262833</v>
      </c>
      <c r="AD37">
        <f t="shared" si="9"/>
        <v>1.1026405207949108</v>
      </c>
      <c r="AE37">
        <f t="shared" si="10"/>
        <v>1.0595187781453539</v>
      </c>
      <c r="AF37">
        <f t="shared" si="11"/>
        <v>0.98840498149706779</v>
      </c>
      <c r="AG37">
        <f t="shared" si="12"/>
        <v>0.92190150231889101</v>
      </c>
      <c r="AH37">
        <f t="shared" si="13"/>
        <v>0.91288882212414002</v>
      </c>
      <c r="AI37">
        <f t="shared" si="14"/>
        <v>0.889495314572189</v>
      </c>
      <c r="AJ37">
        <f t="shared" si="15"/>
        <v>0.84801590993934073</v>
      </c>
    </row>
    <row r="38" spans="1:36" x14ac:dyDescent="0.25">
      <c r="B38" t="s">
        <v>670</v>
      </c>
      <c r="C38">
        <v>6</v>
      </c>
      <c r="D38">
        <v>-77.77</v>
      </c>
      <c r="E38">
        <v>0.29493796825408902</v>
      </c>
      <c r="F38">
        <v>0.77081382274627697</v>
      </c>
      <c r="G38">
        <v>4.0273776054382298</v>
      </c>
      <c r="H38">
        <v>24.224990844726499</v>
      </c>
      <c r="K38">
        <f t="shared" si="4"/>
        <v>32.265410201669049</v>
      </c>
      <c r="L38">
        <f t="shared" si="5"/>
        <v>109.39727561245151</v>
      </c>
      <c r="P38">
        <v>23.868385314941399</v>
      </c>
      <c r="Q38">
        <v>25.956924438476499</v>
      </c>
      <c r="R38">
        <v>25.010765075683501</v>
      </c>
      <c r="S38">
        <v>26.552078247070298</v>
      </c>
      <c r="T38">
        <v>24.451152801513601</v>
      </c>
      <c r="U38">
        <v>23.6883735656738</v>
      </c>
      <c r="V38">
        <v>23.563224792480401</v>
      </c>
      <c r="W38">
        <v>22.2548828125</v>
      </c>
      <c r="X38">
        <v>23.144191741943299</v>
      </c>
      <c r="Y38">
        <v>22.103378295898398</v>
      </c>
      <c r="AA38">
        <f t="shared" si="6"/>
        <v>1</v>
      </c>
      <c r="AB38">
        <f t="shared" si="7"/>
        <v>1.087502321417096</v>
      </c>
      <c r="AC38">
        <f t="shared" si="8"/>
        <v>1.0478616272390651</v>
      </c>
      <c r="AD38">
        <f t="shared" si="9"/>
        <v>1.112437137942839</v>
      </c>
      <c r="AE38">
        <f t="shared" si="10"/>
        <v>1.0244158739220368</v>
      </c>
      <c r="AF38">
        <f t="shared" si="11"/>
        <v>0.99245815136246718</v>
      </c>
      <c r="AG38">
        <f t="shared" si="12"/>
        <v>0.98721486525232316</v>
      </c>
      <c r="AH38">
        <f t="shared" si="13"/>
        <v>0.93240001444792497</v>
      </c>
      <c r="AI38">
        <f t="shared" si="14"/>
        <v>0.96965887874515078</v>
      </c>
      <c r="AJ38">
        <f t="shared" si="15"/>
        <v>0.92605251692756441</v>
      </c>
    </row>
    <row r="39" spans="1:36" x14ac:dyDescent="0.25">
      <c r="B39" t="s">
        <v>671</v>
      </c>
      <c r="C39">
        <v>7</v>
      </c>
      <c r="D39">
        <v>-77.400000000000006</v>
      </c>
      <c r="E39">
        <v>0.34373390674591098</v>
      </c>
      <c r="F39">
        <v>0.79759037494659402</v>
      </c>
      <c r="G39">
        <v>3.82291579246521</v>
      </c>
      <c r="H39">
        <v>21.988933563232401</v>
      </c>
      <c r="K39">
        <f t="shared" si="4"/>
        <v>28.456380087115264</v>
      </c>
      <c r="L39">
        <f t="shared" si="5"/>
        <v>82.786072391020468</v>
      </c>
      <c r="P39">
        <v>18.710556030273398</v>
      </c>
      <c r="Q39">
        <v>21.389049530029201</v>
      </c>
      <c r="R39">
        <v>22.512638092041001</v>
      </c>
      <c r="S39">
        <v>21.8801765441894</v>
      </c>
      <c r="T39">
        <v>19.657505035400298</v>
      </c>
      <c r="U39">
        <v>20.083995819091701</v>
      </c>
      <c r="V39">
        <v>18.505172729492099</v>
      </c>
      <c r="W39">
        <v>16.453659057617099</v>
      </c>
      <c r="X39">
        <v>16.9438171386718</v>
      </c>
      <c r="Y39">
        <v>17.1532173156738</v>
      </c>
      <c r="AA39">
        <f t="shared" si="6"/>
        <v>1</v>
      </c>
      <c r="AB39">
        <f t="shared" si="7"/>
        <v>1.1431541369172589</v>
      </c>
      <c r="AC39">
        <f t="shared" si="8"/>
        <v>1.2032051883234198</v>
      </c>
      <c r="AD39">
        <f t="shared" si="9"/>
        <v>1.1694027964100908</v>
      </c>
      <c r="AE39">
        <f t="shared" si="10"/>
        <v>1.0506104149761637</v>
      </c>
      <c r="AF39">
        <f t="shared" si="11"/>
        <v>1.0734045416179026</v>
      </c>
      <c r="AG39">
        <f t="shared" si="12"/>
        <v>0.9890231321587134</v>
      </c>
      <c r="AH39">
        <f t="shared" si="13"/>
        <v>0.87937841243174841</v>
      </c>
      <c r="AI39">
        <f t="shared" si="14"/>
        <v>0.90557528655251929</v>
      </c>
      <c r="AJ39">
        <f t="shared" si="15"/>
        <v>0.91676683942049353</v>
      </c>
    </row>
    <row r="40" spans="1:36" x14ac:dyDescent="0.25">
      <c r="B40" t="s">
        <v>672</v>
      </c>
      <c r="C40">
        <v>8</v>
      </c>
      <c r="D40">
        <v>-75.87</v>
      </c>
      <c r="E40">
        <v>0.114045575261116</v>
      </c>
      <c r="F40">
        <v>1.4653121232986399</v>
      </c>
      <c r="G40">
        <v>2.2326772212982098</v>
      </c>
      <c r="H40">
        <v>2.1333160400390598</v>
      </c>
      <c r="K40">
        <f t="shared" si="4"/>
        <v>2.1824080780926338</v>
      </c>
      <c r="L40">
        <f t="shared" si="5"/>
        <v>19.136280150245593</v>
      </c>
      <c r="P40">
        <v>2.1276626586914</v>
      </c>
      <c r="Q40">
        <v>2.4316940307617099</v>
      </c>
      <c r="R40">
        <v>2.4076156616210902</v>
      </c>
      <c r="S40">
        <v>2.54693603515625</v>
      </c>
      <c r="T40">
        <v>2.3864669799804599</v>
      </c>
      <c r="U40">
        <v>2.1269302368164</v>
      </c>
      <c r="V40">
        <v>2.1203308105468701</v>
      </c>
      <c r="W40">
        <v>2.22666931152343</v>
      </c>
      <c r="X40">
        <v>2.0280380249023402</v>
      </c>
      <c r="Y40">
        <v>1.8190841674804601</v>
      </c>
      <c r="AA40">
        <f t="shared" si="6"/>
        <v>1</v>
      </c>
      <c r="AB40">
        <f t="shared" si="7"/>
        <v>1.1428945377352731</v>
      </c>
      <c r="AC40">
        <f t="shared" si="8"/>
        <v>1.1315777206438697</v>
      </c>
      <c r="AD40">
        <f t="shared" si="9"/>
        <v>1.197058201285875</v>
      </c>
      <c r="AE40">
        <f t="shared" si="10"/>
        <v>1.1216378546814536</v>
      </c>
      <c r="AF40">
        <f t="shared" si="11"/>
        <v>0.99965576221775188</v>
      </c>
      <c r="AG40">
        <f t="shared" si="12"/>
        <v>0.99655403636728801</v>
      </c>
      <c r="AH40">
        <f t="shared" si="13"/>
        <v>1.0465330593774311</v>
      </c>
      <c r="AI40">
        <f t="shared" si="14"/>
        <v>0.95317648999379767</v>
      </c>
      <c r="AJ40">
        <f t="shared" si="15"/>
        <v>0.85496831936660089</v>
      </c>
    </row>
    <row r="41" spans="1:36" x14ac:dyDescent="0.25">
      <c r="B41" t="s">
        <v>673</v>
      </c>
      <c r="C41">
        <v>9</v>
      </c>
      <c r="D41">
        <v>-86.14</v>
      </c>
      <c r="E41">
        <v>0.11603458225727099</v>
      </c>
      <c r="F41">
        <v>1.8678170442581099</v>
      </c>
      <c r="G41">
        <v>2.9331429004669101</v>
      </c>
      <c r="H41">
        <v>2.8921813964843701</v>
      </c>
      <c r="K41">
        <f t="shared" si="4"/>
        <v>2.9720104499651825</v>
      </c>
      <c r="L41">
        <f t="shared" si="5"/>
        <v>25.613143876156364</v>
      </c>
      <c r="P41">
        <v>2.2932205200195299</v>
      </c>
      <c r="Q41">
        <v>2.7010116577148402</v>
      </c>
      <c r="R41">
        <v>2.87168884277343</v>
      </c>
      <c r="S41">
        <v>3.0605545043945299</v>
      </c>
      <c r="T41">
        <v>2.7853927612304599</v>
      </c>
      <c r="U41">
        <v>2.9970779418945299</v>
      </c>
      <c r="V41">
        <v>2.9536056518554599</v>
      </c>
      <c r="W41">
        <v>2.65000915527343</v>
      </c>
      <c r="X41">
        <v>2.6304397583007799</v>
      </c>
      <c r="Y41">
        <v>2.92533874511718</v>
      </c>
      <c r="AA41">
        <f t="shared" si="6"/>
        <v>1</v>
      </c>
      <c r="AB41">
        <f t="shared" si="7"/>
        <v>1.1778246505887002</v>
      </c>
      <c r="AC41">
        <f t="shared" si="8"/>
        <v>1.2522515029426711</v>
      </c>
      <c r="AD41">
        <f t="shared" si="9"/>
        <v>1.3346097672143913</v>
      </c>
      <c r="AE41">
        <f t="shared" si="10"/>
        <v>1.2146205464822626</v>
      </c>
      <c r="AF41">
        <f t="shared" si="11"/>
        <v>1.3069296719309862</v>
      </c>
      <c r="AG41">
        <f t="shared" si="12"/>
        <v>1.2879727989832856</v>
      </c>
      <c r="AH41">
        <f t="shared" si="13"/>
        <v>1.1555840932606261</v>
      </c>
      <c r="AI41">
        <f t="shared" si="14"/>
        <v>1.1470505061930887</v>
      </c>
      <c r="AJ41">
        <f t="shared" si="15"/>
        <v>1.275646506552395</v>
      </c>
    </row>
    <row r="42" spans="1:36" x14ac:dyDescent="0.25">
      <c r="B42" t="s">
        <v>674</v>
      </c>
      <c r="C42">
        <v>10</v>
      </c>
      <c r="D42">
        <v>-79.239999999999995</v>
      </c>
      <c r="E42">
        <v>0.25773710012435902</v>
      </c>
      <c r="F42">
        <v>1.2728954553604099</v>
      </c>
      <c r="G42">
        <v>3.8491687774658199</v>
      </c>
      <c r="H42">
        <v>16.5284004211425</v>
      </c>
      <c r="K42">
        <f t="shared" si="4"/>
        <v>19.838903633341697</v>
      </c>
      <c r="L42">
        <f t="shared" si="5"/>
        <v>76.973410594630579</v>
      </c>
      <c r="P42">
        <v>16.986919403076101</v>
      </c>
      <c r="Q42">
        <v>17.2020454406738</v>
      </c>
      <c r="R42">
        <v>19.108299255371001</v>
      </c>
      <c r="S42">
        <v>17.7721633911132</v>
      </c>
      <c r="T42">
        <v>18.298294067382798</v>
      </c>
      <c r="U42">
        <v>17.484600067138601</v>
      </c>
      <c r="V42">
        <v>16.481582641601499</v>
      </c>
      <c r="W42">
        <v>15.9928016662597</v>
      </c>
      <c r="X42">
        <v>15.3755989074707</v>
      </c>
      <c r="Y42">
        <v>14.412090301513601</v>
      </c>
      <c r="AA42">
        <f t="shared" si="6"/>
        <v>1</v>
      </c>
      <c r="AB42">
        <f t="shared" si="7"/>
        <v>1.0126642172422824</v>
      </c>
      <c r="AC42">
        <f t="shared" si="8"/>
        <v>1.124883141077996</v>
      </c>
      <c r="AD42">
        <f t="shared" si="9"/>
        <v>1.0462263915783871</v>
      </c>
      <c r="AE42">
        <f t="shared" si="10"/>
        <v>1.077199086731949</v>
      </c>
      <c r="AF42">
        <f t="shared" si="11"/>
        <v>1.029297876339625</v>
      </c>
      <c r="AG42">
        <f t="shared" si="12"/>
        <v>0.97025141819516181</v>
      </c>
      <c r="AH42">
        <f t="shared" si="13"/>
        <v>0.94147745608091959</v>
      </c>
      <c r="AI42">
        <f t="shared" si="14"/>
        <v>0.90514345436208921</v>
      </c>
      <c r="AJ42">
        <f t="shared" si="15"/>
        <v>0.84842283403686292</v>
      </c>
    </row>
    <row r="43" spans="1:36" x14ac:dyDescent="0.25">
      <c r="B43" t="s">
        <v>675</v>
      </c>
      <c r="C43">
        <v>11</v>
      </c>
      <c r="D43">
        <v>-62.98</v>
      </c>
      <c r="E43">
        <v>0.15931130945682501</v>
      </c>
      <c r="F43">
        <v>1.44502890110015</v>
      </c>
      <c r="G43">
        <v>2.5877330303192099</v>
      </c>
      <c r="H43">
        <v>11.894546508789</v>
      </c>
      <c r="K43">
        <f t="shared" si="4"/>
        <v>14.011549001796935</v>
      </c>
      <c r="L43">
        <f t="shared" si="5"/>
        <v>87.950749068409408</v>
      </c>
      <c r="P43">
        <v>11.638687133789</v>
      </c>
      <c r="Q43">
        <v>12.4613533020019</v>
      </c>
      <c r="R43">
        <v>13.555767059326101</v>
      </c>
      <c r="S43">
        <v>12.4664611816406</v>
      </c>
      <c r="T43">
        <v>11.9938507080078</v>
      </c>
      <c r="U43">
        <v>12.1396713256835</v>
      </c>
      <c r="V43">
        <v>11.3911743164062</v>
      </c>
      <c r="W43">
        <v>11.520034790039</v>
      </c>
      <c r="X43">
        <v>10.2255325317382</v>
      </c>
      <c r="Y43">
        <v>10.2817420959472</v>
      </c>
      <c r="AA43">
        <f t="shared" si="6"/>
        <v>1</v>
      </c>
      <c r="AB43">
        <f t="shared" si="7"/>
        <v>1.0706837600114334</v>
      </c>
      <c r="AC43">
        <f t="shared" si="8"/>
        <v>1.1647161663080972</v>
      </c>
      <c r="AD43">
        <f t="shared" si="9"/>
        <v>1.0711226307861166</v>
      </c>
      <c r="AE43">
        <f t="shared" si="10"/>
        <v>1.0305157764046859</v>
      </c>
      <c r="AF43">
        <f t="shared" si="11"/>
        <v>1.0430447340095654</v>
      </c>
      <c r="AG43">
        <f t="shared" si="12"/>
        <v>0.97873361363377231</v>
      </c>
      <c r="AH43">
        <f t="shared" si="13"/>
        <v>0.98980534983146573</v>
      </c>
      <c r="AI43">
        <f t="shared" si="14"/>
        <v>0.87858127073901804</v>
      </c>
      <c r="AJ43">
        <f t="shared" si="15"/>
        <v>0.88341081582111025</v>
      </c>
    </row>
    <row r="44" spans="1:36" x14ac:dyDescent="0.25">
      <c r="B44" t="s">
        <v>676</v>
      </c>
      <c r="C44">
        <v>12</v>
      </c>
      <c r="D44">
        <v>-67.2</v>
      </c>
      <c r="E44">
        <v>0.22210332751274101</v>
      </c>
      <c r="F44">
        <v>0.98586028814315796</v>
      </c>
      <c r="G44">
        <v>3.7978150844573899</v>
      </c>
      <c r="H44">
        <v>16.904541015625</v>
      </c>
      <c r="K44">
        <f t="shared" si="4"/>
        <v>21.163599844263398</v>
      </c>
      <c r="L44">
        <f t="shared" si="5"/>
        <v>95.287180436544091</v>
      </c>
      <c r="P44">
        <v>16.554428100585898</v>
      </c>
      <c r="Q44">
        <v>17.854690551757798</v>
      </c>
      <c r="R44">
        <v>17.043682098388601</v>
      </c>
      <c r="S44">
        <v>16.861446380615199</v>
      </c>
      <c r="T44">
        <v>17.219779968261701</v>
      </c>
      <c r="U44">
        <v>16.8622932434082</v>
      </c>
      <c r="V44">
        <v>14.839363098144499</v>
      </c>
      <c r="W44">
        <v>14.501399993896401</v>
      </c>
      <c r="X44">
        <v>14.516704559326101</v>
      </c>
      <c r="Y44">
        <v>14.2101173400878</v>
      </c>
      <c r="AA44">
        <f t="shared" si="6"/>
        <v>1</v>
      </c>
      <c r="AB44">
        <f t="shared" si="7"/>
        <v>1.0785446916843886</v>
      </c>
      <c r="AC44">
        <f t="shared" si="8"/>
        <v>1.0295542675850811</v>
      </c>
      <c r="AD44">
        <f t="shared" si="9"/>
        <v>1.0185459913301647</v>
      </c>
      <c r="AE44">
        <f t="shared" si="10"/>
        <v>1.0401917760996078</v>
      </c>
      <c r="AF44">
        <f t="shared" si="11"/>
        <v>1.0185971476001279</v>
      </c>
      <c r="AG44">
        <f t="shared" si="12"/>
        <v>0.89639841424780486</v>
      </c>
      <c r="AH44">
        <f t="shared" si="13"/>
        <v>0.87598314516121301</v>
      </c>
      <c r="AI44">
        <f t="shared" si="14"/>
        <v>0.87690764495889306</v>
      </c>
      <c r="AJ44">
        <f t="shared" si="15"/>
        <v>0.85838769263100501</v>
      </c>
    </row>
    <row r="46" spans="1:36" x14ac:dyDescent="0.25">
      <c r="A46" t="s">
        <v>678</v>
      </c>
      <c r="B46" t="s">
        <v>679</v>
      </c>
      <c r="C46">
        <v>1</v>
      </c>
      <c r="D46">
        <v>-83.55</v>
      </c>
      <c r="E46">
        <v>0.28431221842765803</v>
      </c>
      <c r="F46">
        <v>0.71407741308212302</v>
      </c>
      <c r="G46">
        <v>4.0513877868652299</v>
      </c>
      <c r="H46">
        <v>22.631095886230401</v>
      </c>
      <c r="K46">
        <v>28.891809904407705</v>
      </c>
      <c r="L46">
        <v>101.62000797640393</v>
      </c>
      <c r="P46">
        <v>22.048839569091701</v>
      </c>
      <c r="Q46">
        <v>23.726200103759702</v>
      </c>
      <c r="R46">
        <v>26.888038635253899</v>
      </c>
      <c r="S46">
        <v>25.332542419433501</v>
      </c>
      <c r="T46">
        <v>25.023555755615199</v>
      </c>
      <c r="U46">
        <v>24.2996101379394</v>
      </c>
      <c r="V46">
        <v>21.577487945556602</v>
      </c>
      <c r="W46">
        <v>21.367683410644499</v>
      </c>
      <c r="X46">
        <v>21.019817352294901</v>
      </c>
      <c r="Y46">
        <v>20.6795845031738</v>
      </c>
      <c r="AA46">
        <v>1</v>
      </c>
      <c r="AB46">
        <v>1.076074776153723</v>
      </c>
      <c r="AC46">
        <v>1.2194763606945482</v>
      </c>
      <c r="AD46">
        <v>1.14892860189091</v>
      </c>
      <c r="AE46">
        <v>1.1349148637597004</v>
      </c>
      <c r="AF46">
        <v>1.1020811350091573</v>
      </c>
      <c r="AG46">
        <v>0.978622384091549</v>
      </c>
      <c r="AH46">
        <v>0.96910693842581841</v>
      </c>
      <c r="AI46">
        <v>0.95332986964813804</v>
      </c>
      <c r="AJ46">
        <v>0.93789899637905039</v>
      </c>
    </row>
    <row r="47" spans="1:36" x14ac:dyDescent="0.25">
      <c r="B47" t="s">
        <v>680</v>
      </c>
      <c r="C47">
        <v>2</v>
      </c>
      <c r="D47">
        <v>-81.459999999999994</v>
      </c>
      <c r="E47">
        <v>0.361468285322189</v>
      </c>
      <c r="F47">
        <v>0.72189283370971702</v>
      </c>
      <c r="G47">
        <v>3.28308773040771</v>
      </c>
      <c r="H47">
        <v>22.423789978027301</v>
      </c>
      <c r="K47">
        <v>28.75651912459233</v>
      </c>
      <c r="L47">
        <v>79.554750146228358</v>
      </c>
      <c r="P47">
        <v>23.186367034912099</v>
      </c>
      <c r="Q47">
        <v>24.394542694091701</v>
      </c>
      <c r="R47">
        <v>25.005966186523398</v>
      </c>
      <c r="S47">
        <v>24.271183013916001</v>
      </c>
      <c r="T47">
        <v>24.994297027587798</v>
      </c>
      <c r="U47">
        <v>24.148021697998001</v>
      </c>
      <c r="V47">
        <v>21.8362426757812</v>
      </c>
      <c r="W47">
        <v>19.2333869934082</v>
      </c>
      <c r="X47">
        <v>18.275157928466701</v>
      </c>
      <c r="Y47">
        <v>18.699123382568299</v>
      </c>
      <c r="AA47">
        <v>1</v>
      </c>
      <c r="AB47">
        <v>1.052107156647716</v>
      </c>
      <c r="AC47">
        <v>1.0784771132481212</v>
      </c>
      <c r="AD47">
        <v>1.046786802666001</v>
      </c>
      <c r="AE47">
        <v>1.0779738365201184</v>
      </c>
      <c r="AF47">
        <v>1.0414750038950873</v>
      </c>
      <c r="AG47">
        <v>0.94177076740405286</v>
      </c>
      <c r="AH47">
        <v>0.82951274619470006</v>
      </c>
      <c r="AI47">
        <v>0.78818548420929813</v>
      </c>
      <c r="AJ47">
        <v>0.80647060207460353</v>
      </c>
    </row>
    <row r="48" spans="1:36" x14ac:dyDescent="0.25">
      <c r="B48" t="s">
        <v>681</v>
      </c>
      <c r="C48">
        <v>3</v>
      </c>
      <c r="D48">
        <v>-78.69</v>
      </c>
      <c r="E48">
        <v>0.137786865234375</v>
      </c>
      <c r="F48">
        <v>1.0050961971282899</v>
      </c>
      <c r="G48">
        <v>1.9924341440200799</v>
      </c>
      <c r="H48">
        <v>9.0889816284179599</v>
      </c>
      <c r="K48">
        <v>10.014335401278959</v>
      </c>
      <c r="L48">
        <v>72.679898655395121</v>
      </c>
      <c r="P48">
        <v>8.4681091308593697</v>
      </c>
      <c r="Q48">
        <v>8.6610794067382795</v>
      </c>
      <c r="R48">
        <v>9.0174255371093697</v>
      </c>
      <c r="S48">
        <v>9.0682754516601491</v>
      </c>
      <c r="T48">
        <v>7.9111862182617099</v>
      </c>
      <c r="U48">
        <v>7.46768951416015</v>
      </c>
      <c r="V48">
        <v>7.3172531127929599</v>
      </c>
      <c r="W48">
        <v>5.99149322509765</v>
      </c>
      <c r="X48">
        <v>5.8776397705078098</v>
      </c>
      <c r="Y48">
        <v>5.68505859375</v>
      </c>
      <c r="AA48">
        <v>1</v>
      </c>
      <c r="AB48">
        <v>1.0227878825009105</v>
      </c>
      <c r="AC48">
        <v>1.0648688388117471</v>
      </c>
      <c r="AD48">
        <v>1.0708737111823066</v>
      </c>
      <c r="AE48">
        <v>0.9342329079619287</v>
      </c>
      <c r="AF48">
        <v>0.88186033018238941</v>
      </c>
      <c r="AG48">
        <v>0.86409527790891649</v>
      </c>
      <c r="AH48">
        <v>0.70753613734895437</v>
      </c>
      <c r="AI48">
        <v>0.69409116954912564</v>
      </c>
      <c r="AJ48">
        <v>0.67134923580904093</v>
      </c>
    </row>
    <row r="49" spans="2:36" x14ac:dyDescent="0.25">
      <c r="B49" t="s">
        <v>682</v>
      </c>
      <c r="C49">
        <v>4</v>
      </c>
      <c r="D49">
        <v>-78.33</v>
      </c>
      <c r="E49">
        <v>0.27878305315971402</v>
      </c>
      <c r="F49">
        <v>0.96409523487091098</v>
      </c>
      <c r="G49">
        <v>3.3460438251495299</v>
      </c>
      <c r="H49">
        <v>13.0963134765625</v>
      </c>
      <c r="K49">
        <v>15.11849147944875</v>
      </c>
      <c r="L49">
        <v>54.230310300775024</v>
      </c>
      <c r="P49">
        <v>12.7620391845703</v>
      </c>
      <c r="Q49">
        <v>12.094932556152299</v>
      </c>
      <c r="R49">
        <v>11.4313621520996</v>
      </c>
      <c r="S49">
        <v>11.1390228271484</v>
      </c>
      <c r="T49">
        <v>10.517147064208901</v>
      </c>
      <c r="U49">
        <v>10.8423500061035</v>
      </c>
      <c r="V49">
        <v>11.057292938232401</v>
      </c>
      <c r="W49">
        <v>9.8411865234375</v>
      </c>
      <c r="X49">
        <v>8.5492401123046804</v>
      </c>
      <c r="Y49">
        <v>9.2014465332031197</v>
      </c>
      <c r="AA49">
        <v>1</v>
      </c>
      <c r="AB49">
        <v>0.94772727000990931</v>
      </c>
      <c r="AC49">
        <v>0.89573162930893291</v>
      </c>
      <c r="AD49">
        <v>0.87282468468015861</v>
      </c>
      <c r="AE49">
        <v>0.82409612696726842</v>
      </c>
      <c r="AF49">
        <v>0.84957817863560836</v>
      </c>
      <c r="AG49">
        <v>0.86642054442216487</v>
      </c>
      <c r="AH49">
        <v>0.77112962757047465</v>
      </c>
      <c r="AI49">
        <v>0.66989608703293879</v>
      </c>
      <c r="AJ49">
        <v>0.72100127574658701</v>
      </c>
    </row>
    <row r="50" spans="2:36" x14ac:dyDescent="0.25">
      <c r="B50" t="s">
        <v>683</v>
      </c>
      <c r="C50">
        <v>5</v>
      </c>
      <c r="D50">
        <v>-66.28</v>
      </c>
      <c r="E50">
        <v>0.205988138914108</v>
      </c>
      <c r="F50">
        <v>1.1123920679092401</v>
      </c>
      <c r="G50">
        <v>3.8987982273101802</v>
      </c>
      <c r="H50">
        <v>12.307674407958901</v>
      </c>
      <c r="K50">
        <v>14.455021381013855</v>
      </c>
      <c r="L50">
        <v>70.174047191334864</v>
      </c>
      <c r="P50">
        <v>9.59033203125</v>
      </c>
      <c r="Q50">
        <v>12.4621887207031</v>
      </c>
      <c r="R50">
        <v>12.3754539489746</v>
      </c>
      <c r="S50">
        <v>11.9824829101562</v>
      </c>
      <c r="T50">
        <v>11.4140968322753</v>
      </c>
      <c r="U50">
        <v>11.3936004638671</v>
      </c>
      <c r="V50">
        <v>9.65484619140625</v>
      </c>
      <c r="W50">
        <v>10.436626434326101</v>
      </c>
      <c r="X50">
        <v>9.5984268188476491</v>
      </c>
      <c r="Y50">
        <v>8.9612159729003906</v>
      </c>
      <c r="AA50">
        <v>1</v>
      </c>
      <c r="AB50">
        <v>1.2994533119494909</v>
      </c>
      <c r="AC50">
        <v>1.2904093318822862</v>
      </c>
      <c r="AD50">
        <v>1.2494335828114607</v>
      </c>
      <c r="AE50">
        <v>1.1901670135176323</v>
      </c>
      <c r="AF50">
        <v>1.1880298228196029</v>
      </c>
      <c r="AG50">
        <v>1.0067269996436026</v>
      </c>
      <c r="AH50">
        <v>1.0882445363016067</v>
      </c>
      <c r="AI50">
        <v>1.0008440570744863</v>
      </c>
      <c r="AJ50">
        <v>0.93440101382312513</v>
      </c>
    </row>
    <row r="51" spans="2:36" x14ac:dyDescent="0.25">
      <c r="B51" t="s">
        <v>684</v>
      </c>
      <c r="C51">
        <v>6</v>
      </c>
      <c r="D51">
        <v>-61.48</v>
      </c>
      <c r="E51">
        <v>0.13434268534183499</v>
      </c>
      <c r="F51">
        <v>1.0771670341491699</v>
      </c>
      <c r="G51">
        <v>3.1945629119872998</v>
      </c>
      <c r="H51">
        <v>8.6585845947265607</v>
      </c>
      <c r="K51">
        <v>9.7580057863599929</v>
      </c>
      <c r="L51">
        <v>72.635184874641624</v>
      </c>
      <c r="P51">
        <v>8.7418632507324201</v>
      </c>
      <c r="Q51">
        <v>9.2011566162109304</v>
      </c>
      <c r="R51">
        <v>9.4585380554199201</v>
      </c>
      <c r="S51">
        <v>8.7140579223632795</v>
      </c>
      <c r="T51">
        <v>8.4967155456542898</v>
      </c>
      <c r="U51">
        <v>7.5343780517578098</v>
      </c>
      <c r="V51">
        <v>6.4911231994628897</v>
      </c>
      <c r="W51">
        <v>6.9859580993652299</v>
      </c>
      <c r="X51">
        <v>5.7950363159179599</v>
      </c>
      <c r="Y51">
        <v>6.26700592041015</v>
      </c>
      <c r="AA51">
        <v>1</v>
      </c>
      <c r="AB51">
        <v>1.052539527593277</v>
      </c>
      <c r="AC51">
        <v>1.0819819281235559</v>
      </c>
      <c r="AD51">
        <v>0.9968192903993538</v>
      </c>
      <c r="AE51">
        <v>0.97195704187461507</v>
      </c>
      <c r="AF51">
        <v>0.86187324551508593</v>
      </c>
      <c r="AG51">
        <v>0.74253314348277455</v>
      </c>
      <c r="AH51">
        <v>0.79913834144910978</v>
      </c>
      <c r="AI51">
        <v>0.66290631066923111</v>
      </c>
      <c r="AJ51">
        <v>0.71689589972539103</v>
      </c>
    </row>
    <row r="52" spans="2:36" x14ac:dyDescent="0.25">
      <c r="B52" t="s">
        <v>685</v>
      </c>
      <c r="C52">
        <v>7</v>
      </c>
      <c r="D52">
        <v>-59.74</v>
      </c>
      <c r="E52">
        <v>0.25350987911224399</v>
      </c>
      <c r="F52">
        <v>1.06107950210571</v>
      </c>
      <c r="G52">
        <v>4.6891155242919904</v>
      </c>
      <c r="H52">
        <v>17.095222473144499</v>
      </c>
      <c r="K52">
        <v>22.170730645610071</v>
      </c>
      <c r="L52">
        <v>87.455095332966337</v>
      </c>
      <c r="P52">
        <v>16.782962799072202</v>
      </c>
      <c r="Q52">
        <v>18.405876159667901</v>
      </c>
      <c r="R52">
        <v>18.277915954589801</v>
      </c>
      <c r="S52">
        <v>17.939266204833899</v>
      </c>
      <c r="T52">
        <v>17.85884475708</v>
      </c>
      <c r="U52">
        <v>16.718391418456999</v>
      </c>
      <c r="V52">
        <v>16.581352233886701</v>
      </c>
      <c r="W52">
        <v>15.478252410888601</v>
      </c>
      <c r="X52">
        <v>15.586067199706999</v>
      </c>
      <c r="Y52">
        <v>13.374656677246</v>
      </c>
      <c r="AA52">
        <v>1</v>
      </c>
      <c r="AB52">
        <v>1.0967000511188296</v>
      </c>
      <c r="AC52">
        <v>1.0890756401843567</v>
      </c>
      <c r="AD52">
        <v>1.0688974539004292</v>
      </c>
      <c r="AE52">
        <v>1.0641056034556231</v>
      </c>
      <c r="AF52">
        <v>0.9961525636809031</v>
      </c>
      <c r="AG52">
        <v>0.98798718869849089</v>
      </c>
      <c r="AH52">
        <v>0.92225982957814057</v>
      </c>
      <c r="AI52">
        <v>0.92868389129532192</v>
      </c>
      <c r="AJ52">
        <v>0.79691868696660517</v>
      </c>
    </row>
    <row r="53" spans="2:36" x14ac:dyDescent="0.25">
      <c r="B53" t="s">
        <v>686</v>
      </c>
      <c r="C53">
        <v>8</v>
      </c>
      <c r="D53">
        <v>-69.17</v>
      </c>
      <c r="E53">
        <v>0.208028018474579</v>
      </c>
      <c r="F53">
        <v>0.96822804212570202</v>
      </c>
      <c r="G53">
        <v>2.8107604980468701</v>
      </c>
      <c r="H53">
        <v>14.369655609130801</v>
      </c>
      <c r="K53">
        <v>17.233837263630434</v>
      </c>
      <c r="L53">
        <v>82.843827432487927</v>
      </c>
      <c r="P53">
        <v>13.2578315734863</v>
      </c>
      <c r="Q53">
        <v>15.8154525756835</v>
      </c>
      <c r="R53">
        <v>16.717094421386701</v>
      </c>
      <c r="S53">
        <v>16.810806274413999</v>
      </c>
      <c r="T53">
        <v>15.6022605895996</v>
      </c>
      <c r="U53">
        <v>15.0077209472656</v>
      </c>
      <c r="V53">
        <v>13.134410858154199</v>
      </c>
      <c r="W53">
        <v>13.5312805175781</v>
      </c>
      <c r="X53">
        <v>13.2872619628906</v>
      </c>
      <c r="Y53">
        <v>12.653987884521401</v>
      </c>
      <c r="AA53">
        <v>1</v>
      </c>
      <c r="AB53">
        <v>1.1929139760164145</v>
      </c>
      <c r="AC53">
        <v>1.2609222201026007</v>
      </c>
      <c r="AD53">
        <v>1.2679906349114527</v>
      </c>
      <c r="AE53">
        <v>1.1768335193518231</v>
      </c>
      <c r="AF53">
        <v>1.1319891087829792</v>
      </c>
      <c r="AG53">
        <v>0.99069073138785957</v>
      </c>
      <c r="AH53">
        <v>1.0206254652260522</v>
      </c>
      <c r="AI53">
        <v>1.0022198493955192</v>
      </c>
      <c r="AJ53">
        <v>0.95445381202665924</v>
      </c>
    </row>
    <row r="54" spans="2:36" x14ac:dyDescent="0.25">
      <c r="B54" t="s">
        <v>687</v>
      </c>
      <c r="C54">
        <v>9</v>
      </c>
      <c r="D54">
        <v>-64.95</v>
      </c>
      <c r="E54">
        <v>0.126954436302185</v>
      </c>
      <c r="F54">
        <v>1.1042230129241899</v>
      </c>
      <c r="G54">
        <v>1.5174640417098999</v>
      </c>
      <c r="H54">
        <v>6.20243072509765</v>
      </c>
      <c r="K54">
        <v>6.7154681507030078</v>
      </c>
      <c r="L54">
        <v>52.896679677411385</v>
      </c>
      <c r="P54">
        <v>5.8397903442382804</v>
      </c>
      <c r="Q54">
        <v>7.0336990356445304</v>
      </c>
      <c r="R54">
        <v>7.0774726867675701</v>
      </c>
      <c r="S54">
        <v>6.8462562561035103</v>
      </c>
      <c r="T54">
        <v>6.6726837158203098</v>
      </c>
      <c r="U54">
        <v>5.6325759887695304</v>
      </c>
      <c r="V54">
        <v>5.4152336120605398</v>
      </c>
      <c r="W54">
        <v>5.0873794555664</v>
      </c>
      <c r="X54">
        <v>4.1922187805175701</v>
      </c>
      <c r="Y54">
        <v>4.8815040588378897</v>
      </c>
      <c r="AA54">
        <v>1</v>
      </c>
      <c r="AB54">
        <v>1.204443759283961</v>
      </c>
      <c r="AC54">
        <v>1.2119395165873421</v>
      </c>
      <c r="AD54">
        <v>1.1723462406245868</v>
      </c>
      <c r="AE54">
        <v>1.1426238482009528</v>
      </c>
      <c r="AF54">
        <v>0.96451681597213601</v>
      </c>
      <c r="AG54">
        <v>0.92729931947015498</v>
      </c>
      <c r="AH54">
        <v>0.87115789363667273</v>
      </c>
      <c r="AI54">
        <v>0.71787145315135226</v>
      </c>
      <c r="AJ54">
        <v>0.83590399159691309</v>
      </c>
    </row>
    <row r="55" spans="2:36" x14ac:dyDescent="0.25">
      <c r="B55" t="s">
        <v>688</v>
      </c>
      <c r="C55">
        <v>10</v>
      </c>
      <c r="D55">
        <v>-71.91</v>
      </c>
      <c r="E55">
        <v>0.21519075334072099</v>
      </c>
      <c r="F55">
        <v>0.96652561426162698</v>
      </c>
      <c r="G55">
        <v>3.4496717453002899</v>
      </c>
      <c r="H55">
        <v>12.005504608154199</v>
      </c>
      <c r="K55">
        <v>13.856152375603443</v>
      </c>
      <c r="L55">
        <v>64.390091862657258</v>
      </c>
      <c r="P55">
        <v>11.994529724121</v>
      </c>
      <c r="Q55">
        <v>12.326168060302701</v>
      </c>
      <c r="R55">
        <v>12.7017288208007</v>
      </c>
      <c r="S55">
        <v>12.4966735839843</v>
      </c>
      <c r="T55">
        <v>11.4907531738281</v>
      </c>
      <c r="U55">
        <v>11.539588928222599</v>
      </c>
      <c r="V55">
        <v>10.580192565917899</v>
      </c>
      <c r="W55">
        <v>10.571144104003899</v>
      </c>
      <c r="X55">
        <v>10.8802528381347</v>
      </c>
      <c r="Y55">
        <v>8.08746337890625</v>
      </c>
      <c r="AA55">
        <v>1</v>
      </c>
      <c r="AB55">
        <v>1.0276491320468177</v>
      </c>
      <c r="AC55">
        <v>1.0589601354071867</v>
      </c>
      <c r="AD55">
        <v>1.0418644058093824</v>
      </c>
      <c r="AE55">
        <v>0.95799947460384338</v>
      </c>
      <c r="AF55">
        <v>0.96207097682341691</v>
      </c>
      <c r="AG55">
        <v>0.88208481776831416</v>
      </c>
      <c r="AH55">
        <v>0.88133043538550149</v>
      </c>
      <c r="AI55">
        <v>0.90710124434928963</v>
      </c>
      <c r="AJ55">
        <v>0.67426264846735595</v>
      </c>
    </row>
    <row r="56" spans="2:36" x14ac:dyDescent="0.25">
      <c r="B56" t="s">
        <v>689</v>
      </c>
      <c r="C56">
        <v>11</v>
      </c>
      <c r="D56">
        <v>-68.97</v>
      </c>
      <c r="E56">
        <v>0.239481091499329</v>
      </c>
      <c r="F56">
        <v>0.79409921169280995</v>
      </c>
      <c r="G56">
        <v>3.9046177864074698</v>
      </c>
      <c r="H56">
        <v>21.3636360168457</v>
      </c>
      <c r="K56">
        <v>28.401615031849364</v>
      </c>
      <c r="L56">
        <v>118.59648231112618</v>
      </c>
      <c r="P56">
        <v>20.0745239257812</v>
      </c>
      <c r="Q56">
        <v>22.5307922363281</v>
      </c>
      <c r="R56">
        <v>22.066177368163999</v>
      </c>
      <c r="S56">
        <v>21.824131011962798</v>
      </c>
      <c r="T56">
        <v>21.7164993286132</v>
      </c>
      <c r="U56">
        <v>18.679203033447202</v>
      </c>
      <c r="V56">
        <v>18.272586822509702</v>
      </c>
      <c r="W56">
        <v>17.2001838684082</v>
      </c>
      <c r="X56">
        <v>17.775260925292901</v>
      </c>
      <c r="Y56">
        <v>15.2829627990722</v>
      </c>
      <c r="AA56">
        <v>1</v>
      </c>
      <c r="AB56">
        <v>1.1223574875114413</v>
      </c>
      <c r="AC56">
        <v>1.099212985062374</v>
      </c>
      <c r="AD56">
        <v>1.0871555954527332</v>
      </c>
      <c r="AE56">
        <v>1.081793989680784</v>
      </c>
      <c r="AF56">
        <v>0.93049295228655349</v>
      </c>
      <c r="AG56">
        <v>0.91023761709450468</v>
      </c>
      <c r="AH56">
        <v>0.85681652685762777</v>
      </c>
      <c r="AI56">
        <v>0.88546363495398195</v>
      </c>
      <c r="AJ56">
        <v>0.7613113444471119</v>
      </c>
    </row>
    <row r="57" spans="2:36" x14ac:dyDescent="0.25">
      <c r="B57" t="s">
        <v>690</v>
      </c>
      <c r="C57">
        <v>12</v>
      </c>
      <c r="D57">
        <v>-67.42</v>
      </c>
      <c r="E57">
        <v>0.346624314785004</v>
      </c>
      <c r="F57">
        <v>0.993272304534912</v>
      </c>
      <c r="G57">
        <v>4.7856535911559996</v>
      </c>
      <c r="H57">
        <v>12.4246101379394</v>
      </c>
      <c r="K57">
        <v>14.57311534961814</v>
      </c>
      <c r="L57">
        <v>42.042969082123427</v>
      </c>
      <c r="P57">
        <v>13.9141731262207</v>
      </c>
      <c r="Q57">
        <v>13.755729675292899</v>
      </c>
      <c r="R57">
        <v>13.515434265136699</v>
      </c>
      <c r="S57">
        <v>14.323528289794901</v>
      </c>
      <c r="T57">
        <v>13.394145965576101</v>
      </c>
      <c r="U57">
        <v>12.8826293945312</v>
      </c>
      <c r="V57">
        <v>10.9317321777343</v>
      </c>
      <c r="W57">
        <v>12.3558006286621</v>
      </c>
      <c r="X57">
        <v>11.599323272705</v>
      </c>
      <c r="Y57">
        <v>10.480239868164</v>
      </c>
      <c r="AA57">
        <v>1</v>
      </c>
      <c r="AB57">
        <v>0.98861280153046105</v>
      </c>
      <c r="AC57">
        <v>0.97134297112254608</v>
      </c>
      <c r="AD57">
        <v>1.0294200136695717</v>
      </c>
      <c r="AE57">
        <v>0.96262608234587588</v>
      </c>
      <c r="AF57">
        <v>0.92586381365734216</v>
      </c>
      <c r="AG57">
        <v>0.78565446028078312</v>
      </c>
      <c r="AH57">
        <v>0.88800107031714959</v>
      </c>
      <c r="AI57">
        <v>0.83363367463399907</v>
      </c>
      <c r="AJ57">
        <v>0.75320608512584986</v>
      </c>
    </row>
    <row r="60" spans="2:36" x14ac:dyDescent="0.25">
      <c r="E60">
        <f>AVERAGE(E3:E12)</f>
        <v>0.2547566577792168</v>
      </c>
      <c r="K60">
        <f>AVERAGE(K3:K12)</f>
        <v>21.411015787506507</v>
      </c>
      <c r="L60">
        <f>AVERAGE(L3:L12)</f>
        <v>87.239317211938555</v>
      </c>
    </row>
    <row r="62" spans="2:36" x14ac:dyDescent="0.25">
      <c r="E62">
        <f>AVERAGE(E14:E31)</f>
        <v>0.23799955513742235</v>
      </c>
      <c r="K62">
        <f>AVERAGE(K14:K31)</f>
        <v>21.045313881668395</v>
      </c>
      <c r="L62">
        <f>AVERAGE(L14:L31)</f>
        <v>90.566380155514992</v>
      </c>
    </row>
    <row r="64" spans="2:36" x14ac:dyDescent="0.25">
      <c r="E64">
        <f>AVERAGE(E33:E44)</f>
        <v>0.1954602201779683</v>
      </c>
      <c r="K64">
        <f>AVERAGE(K33:K44)</f>
        <v>15.991122528203855</v>
      </c>
      <c r="L64">
        <f>AVERAGE(L33:L44)</f>
        <v>77.082379016729661</v>
      </c>
    </row>
    <row r="66" spans="5:12" x14ac:dyDescent="0.25">
      <c r="E66">
        <f>AVERAGE(E46:E57)</f>
        <v>0.23270581165949511</v>
      </c>
      <c r="K66">
        <f>AVERAGE(K46:K57)</f>
        <v>17.495425157843002</v>
      </c>
      <c r="L66">
        <f>AVERAGE(L46:L57)</f>
        <v>74.926612070295974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C973-EAE8-446D-846E-D8A64B0EE94E}">
  <dimension ref="A1:O51"/>
  <sheetViews>
    <sheetView workbookViewId="0">
      <selection activeCell="O15" sqref="O15"/>
    </sheetView>
  </sheetViews>
  <sheetFormatPr defaultRowHeight="15" x14ac:dyDescent="0.25"/>
  <cols>
    <col min="1" max="1" width="10.7109375" bestFit="1" customWidth="1"/>
  </cols>
  <sheetData>
    <row r="1" spans="1:15" x14ac:dyDescent="0.25">
      <c r="A1" s="4" t="s">
        <v>2</v>
      </c>
      <c r="B1" s="5"/>
      <c r="J1" s="14" t="s">
        <v>269</v>
      </c>
      <c r="K1" s="6"/>
    </row>
    <row r="2" spans="1:15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15" t="s">
        <v>207</v>
      </c>
      <c r="K2" s="7" t="s">
        <v>6</v>
      </c>
      <c r="L2" s="7" t="s">
        <v>7</v>
      </c>
      <c r="M2" s="7" t="s">
        <v>8</v>
      </c>
      <c r="N2" s="7" t="s">
        <v>9</v>
      </c>
      <c r="O2" s="7" t="s">
        <v>10</v>
      </c>
    </row>
    <row r="3" spans="1:15" x14ac:dyDescent="0.25">
      <c r="A3" s="9">
        <v>42724</v>
      </c>
      <c r="B3" t="s">
        <v>270</v>
      </c>
      <c r="C3">
        <v>1</v>
      </c>
      <c r="D3">
        <v>-67.25</v>
      </c>
      <c r="E3">
        <v>0.21789600000000001</v>
      </c>
      <c r="F3">
        <v>2.47797</v>
      </c>
      <c r="G3">
        <v>2.5532334760646411</v>
      </c>
      <c r="H3">
        <v>11.71767024665272</v>
      </c>
      <c r="J3" t="s">
        <v>271</v>
      </c>
      <c r="K3">
        <v>-68.17</v>
      </c>
      <c r="L3">
        <v>8.7977799999999995E-2</v>
      </c>
      <c r="M3">
        <v>1.79802</v>
      </c>
      <c r="N3">
        <v>1.8367767712512264</v>
      </c>
      <c r="O3">
        <v>20.877730191607728</v>
      </c>
    </row>
    <row r="4" spans="1:15" x14ac:dyDescent="0.25">
      <c r="B4" t="s">
        <v>272</v>
      </c>
      <c r="C4">
        <v>2</v>
      </c>
      <c r="D4">
        <v>-72.02</v>
      </c>
      <c r="E4">
        <v>0.10319</v>
      </c>
      <c r="F4">
        <v>2.1463999999999999</v>
      </c>
      <c r="G4">
        <v>2.1988249699016595</v>
      </c>
      <c r="H4">
        <v>21.308508284733595</v>
      </c>
      <c r="J4" t="s">
        <v>273</v>
      </c>
      <c r="K4">
        <v>-55.71</v>
      </c>
      <c r="L4">
        <v>6.0137599999999999E-2</v>
      </c>
      <c r="M4">
        <v>1.6452800000000001</v>
      </c>
      <c r="N4">
        <v>1.6850925885343941</v>
      </c>
      <c r="O4">
        <v>28.020615863193644</v>
      </c>
    </row>
    <row r="5" spans="1:15" x14ac:dyDescent="0.25">
      <c r="B5" t="s">
        <v>274</v>
      </c>
      <c r="C5">
        <v>3</v>
      </c>
      <c r="D5">
        <v>-75.55</v>
      </c>
      <c r="E5">
        <v>0.151228</v>
      </c>
      <c r="F5">
        <v>3.0728300000000002</v>
      </c>
      <c r="G5">
        <v>3.1761772151642425</v>
      </c>
      <c r="H5">
        <v>21.002573697755988</v>
      </c>
      <c r="J5" t="s">
        <v>275</v>
      </c>
      <c r="K5">
        <v>-63.32</v>
      </c>
      <c r="L5">
        <v>0.10152899999999999</v>
      </c>
      <c r="M5">
        <v>3.0959099999999999</v>
      </c>
      <c r="N5">
        <v>3.2219342378562414</v>
      </c>
      <c r="O5">
        <v>31.734127568046979</v>
      </c>
    </row>
    <row r="6" spans="1:15" x14ac:dyDescent="0.25">
      <c r="B6" t="s">
        <v>276</v>
      </c>
      <c r="C6">
        <v>4</v>
      </c>
      <c r="D6">
        <v>-62.91</v>
      </c>
      <c r="E6">
        <v>0.113834</v>
      </c>
      <c r="F6">
        <v>0.74252700000000005</v>
      </c>
      <c r="G6">
        <v>0.74960507351995598</v>
      </c>
      <c r="H6">
        <v>6.585071889944623</v>
      </c>
    </row>
    <row r="7" spans="1:15" x14ac:dyDescent="0.25">
      <c r="B7" t="s">
        <v>277</v>
      </c>
      <c r="C7">
        <v>5</v>
      </c>
      <c r="D7">
        <v>-70.78</v>
      </c>
      <c r="E7">
        <v>9.6844799999999995E-2</v>
      </c>
      <c r="F7">
        <v>1.1970700000000001</v>
      </c>
      <c r="G7">
        <v>1.2134885445839516</v>
      </c>
      <c r="H7">
        <v>12.530239564581182</v>
      </c>
      <c r="J7" t="s">
        <v>278</v>
      </c>
      <c r="K7">
        <v>-56.79</v>
      </c>
      <c r="L7">
        <v>9.4717099999999999E-2</v>
      </c>
      <c r="M7">
        <v>1.73933</v>
      </c>
      <c r="N7">
        <v>1.7830173472454218</v>
      </c>
      <c r="O7">
        <v>18.824661515665301</v>
      </c>
    </row>
    <row r="8" spans="1:15" x14ac:dyDescent="0.25">
      <c r="B8" t="s">
        <v>279</v>
      </c>
      <c r="C8">
        <v>6</v>
      </c>
      <c r="D8">
        <v>-68.45</v>
      </c>
      <c r="E8">
        <v>0.399279</v>
      </c>
      <c r="F8">
        <v>1.87744</v>
      </c>
      <c r="G8">
        <v>1.9195595964201972</v>
      </c>
      <c r="H8">
        <v>4.8075646262893796</v>
      </c>
      <c r="J8" t="s">
        <v>280</v>
      </c>
      <c r="K8">
        <v>-60.58</v>
      </c>
      <c r="L8">
        <v>9.5340599999999998E-2</v>
      </c>
      <c r="M8">
        <v>2.8425400000000001</v>
      </c>
      <c r="N8">
        <v>2.9534038985511741</v>
      </c>
      <c r="O8">
        <v>30.97739995921123</v>
      </c>
    </row>
    <row r="9" spans="1:15" x14ac:dyDescent="0.25">
      <c r="B9" t="s">
        <v>281</v>
      </c>
      <c r="C9">
        <v>7</v>
      </c>
      <c r="D9">
        <v>-76.48</v>
      </c>
      <c r="E9">
        <v>0.25964999999999999</v>
      </c>
      <c r="F9">
        <v>1.65662</v>
      </c>
      <c r="G9">
        <v>1.6858332327408274</v>
      </c>
      <c r="H9">
        <v>6.4927141642242541</v>
      </c>
      <c r="J9" t="s">
        <v>282</v>
      </c>
      <c r="K9">
        <v>-62.18</v>
      </c>
      <c r="L9">
        <v>7.8892400000000001E-2</v>
      </c>
      <c r="M9">
        <v>2.1809099999999999</v>
      </c>
      <c r="N9">
        <v>2.2438714894838232</v>
      </c>
      <c r="O9">
        <v>28.442175538883632</v>
      </c>
    </row>
    <row r="10" spans="1:15" x14ac:dyDescent="0.25">
      <c r="A10" s="16"/>
      <c r="B10" s="16" t="s">
        <v>283</v>
      </c>
      <c r="C10" s="16">
        <v>8</v>
      </c>
      <c r="D10" s="16">
        <v>-95.28</v>
      </c>
      <c r="E10" s="16">
        <v>0.2</v>
      </c>
      <c r="F10" s="16">
        <v>6.14724</v>
      </c>
      <c r="G10" s="16">
        <v>6.4817918924690288</v>
      </c>
      <c r="H10" s="16">
        <f>(G10/E10)</f>
        <v>32.408959462345145</v>
      </c>
      <c r="I10" s="16"/>
      <c r="J10" s="16" t="s">
        <v>284</v>
      </c>
      <c r="K10" s="16">
        <v>-63.57</v>
      </c>
      <c r="L10" s="16">
        <v>0.26877099999999998</v>
      </c>
      <c r="M10" s="16">
        <v>4.9386900000000002</v>
      </c>
      <c r="N10" s="16">
        <v>5.2659767948659635</v>
      </c>
      <c r="O10" s="16">
        <v>19.592801287586695</v>
      </c>
    </row>
    <row r="11" spans="1:15" x14ac:dyDescent="0.25">
      <c r="B11" t="s">
        <v>285</v>
      </c>
      <c r="C11">
        <v>9</v>
      </c>
      <c r="D11">
        <v>-64.709999999999994</v>
      </c>
      <c r="E11">
        <v>0.31617000000000001</v>
      </c>
      <c r="F11">
        <v>6.6218300000000001</v>
      </c>
      <c r="G11">
        <v>7.2122593672823534</v>
      </c>
      <c r="H11">
        <v>22.811333672651902</v>
      </c>
      <c r="J11" t="s">
        <v>286</v>
      </c>
      <c r="K11">
        <v>-66.900000000000006</v>
      </c>
      <c r="L11">
        <v>0.119301</v>
      </c>
      <c r="M11">
        <v>6.6264200000000004</v>
      </c>
      <c r="N11">
        <v>7.1966830102581119</v>
      </c>
      <c r="O11">
        <v>60.323744228951234</v>
      </c>
    </row>
    <row r="12" spans="1:15" x14ac:dyDescent="0.25">
      <c r="B12" t="s">
        <v>287</v>
      </c>
      <c r="C12">
        <v>10</v>
      </c>
      <c r="D12">
        <v>-65.22</v>
      </c>
      <c r="E12">
        <v>0.113042</v>
      </c>
      <c r="F12">
        <v>4.5589300000000001</v>
      </c>
      <c r="G12">
        <v>4.8289690281704649</v>
      </c>
      <c r="H12">
        <v>42.718361566236098</v>
      </c>
      <c r="J12" t="s">
        <v>288</v>
      </c>
      <c r="K12">
        <v>-66.78</v>
      </c>
      <c r="L12">
        <v>9.1824799999999998E-2</v>
      </c>
      <c r="M12">
        <v>4.6334499999999998</v>
      </c>
      <c r="N12">
        <v>4.9057538664574709</v>
      </c>
      <c r="O12">
        <v>53.425151663357511</v>
      </c>
    </row>
    <row r="13" spans="1:15" s="11" customFormat="1" ht="20.25" thickBot="1" x14ac:dyDescent="0.35"/>
    <row r="14" spans="1:15" ht="15.75" thickTop="1" x14ac:dyDescent="0.25"/>
    <row r="15" spans="1:15" x14ac:dyDescent="0.25">
      <c r="A15" s="4" t="s">
        <v>2</v>
      </c>
      <c r="B15" s="5"/>
      <c r="L15">
        <f>AVERAGE(L3:L5)+AVERAGE(L7:L12)</f>
        <v>0.20802261666666666</v>
      </c>
      <c r="N15">
        <f>AVERAGE(N3:N5)+AVERAGE(N7:N12)</f>
        <v>6.3060522670242811</v>
      </c>
      <c r="O15">
        <f>AVERAGE(O3:O5)+AVERAGE(O7:O12)</f>
        <v>62.141813573225384</v>
      </c>
    </row>
    <row r="16" spans="1:15" ht="45" x14ac:dyDescent="0.25">
      <c r="A16" s="7" t="s">
        <v>3</v>
      </c>
      <c r="B16" s="8" t="s">
        <v>4</v>
      </c>
      <c r="C16" s="7" t="s">
        <v>5</v>
      </c>
      <c r="D16" s="7" t="s">
        <v>6</v>
      </c>
      <c r="E16" s="7" t="s">
        <v>7</v>
      </c>
      <c r="F16" s="7" t="s">
        <v>8</v>
      </c>
      <c r="G16" s="7" t="s">
        <v>9</v>
      </c>
      <c r="H16" s="7" t="s">
        <v>10</v>
      </c>
    </row>
    <row r="17" spans="1:8" x14ac:dyDescent="0.25">
      <c r="A17" s="9">
        <v>43685</v>
      </c>
      <c r="B17" t="s">
        <v>289</v>
      </c>
      <c r="C17">
        <v>1</v>
      </c>
      <c r="D17">
        <v>-63.98</v>
      </c>
      <c r="E17">
        <v>0.10921400000000001</v>
      </c>
      <c r="F17">
        <v>6.1429786682128897</v>
      </c>
      <c r="G17">
        <f>F17/(1-(0.8*(F17/(ABS(D17)))))</f>
        <v>6.654087347583042</v>
      </c>
      <c r="H17">
        <f>G17/E17</f>
        <v>60.927054659503739</v>
      </c>
    </row>
    <row r="18" spans="1:8" x14ac:dyDescent="0.25">
      <c r="A18" s="9">
        <v>43685</v>
      </c>
      <c r="B18" t="s">
        <v>290</v>
      </c>
      <c r="C18">
        <v>2</v>
      </c>
      <c r="D18">
        <v>-70.319999999999993</v>
      </c>
      <c r="E18">
        <v>0.128605</v>
      </c>
      <c r="F18">
        <v>11.1697998046875</v>
      </c>
      <c r="G18">
        <f>F18/(1-(0.8*(F18/(ABS(D18)))))</f>
        <v>12.795814429427381</v>
      </c>
      <c r="H18">
        <f t="shared" ref="H18:H27" si="0">G18/E18</f>
        <v>99.497021339974197</v>
      </c>
    </row>
    <row r="19" spans="1:8" x14ac:dyDescent="0.25">
      <c r="A19" s="9">
        <v>43685</v>
      </c>
      <c r="B19" t="s">
        <v>291</v>
      </c>
      <c r="C19">
        <v>3</v>
      </c>
      <c r="D19">
        <v>-68.75</v>
      </c>
      <c r="E19">
        <v>0.12780918180942499</v>
      </c>
      <c r="F19">
        <v>8.7164001464843697</v>
      </c>
      <c r="G19">
        <f t="shared" ref="G19:G27" si="1">F19/(1-(0.8*(F19/(ABS(D19)))))</f>
        <v>9.7002715450756174</v>
      </c>
      <c r="H19">
        <f t="shared" si="0"/>
        <v>75.896515475230856</v>
      </c>
    </row>
    <row r="20" spans="1:8" x14ac:dyDescent="0.25">
      <c r="A20" s="9">
        <v>43685</v>
      </c>
      <c r="B20" t="s">
        <v>292</v>
      </c>
      <c r="C20">
        <v>4</v>
      </c>
      <c r="D20">
        <v>-72</v>
      </c>
      <c r="E20">
        <v>0.166746586561203</v>
      </c>
      <c r="F20">
        <v>12.3489875793457</v>
      </c>
      <c r="G20">
        <f t="shared" si="1"/>
        <v>14.312870463559992</v>
      </c>
      <c r="H20">
        <f t="shared" si="0"/>
        <v>85.836062726876676</v>
      </c>
    </row>
    <row r="21" spans="1:8" x14ac:dyDescent="0.25">
      <c r="A21" s="9">
        <v>43685</v>
      </c>
      <c r="B21" t="s">
        <v>293</v>
      </c>
      <c r="C21">
        <v>5</v>
      </c>
      <c r="D21">
        <v>-70.38</v>
      </c>
      <c r="E21">
        <v>0.26705825328826899</v>
      </c>
      <c r="F21">
        <v>14.013389587402299</v>
      </c>
      <c r="G21">
        <f t="shared" si="1"/>
        <v>16.668484394462734</v>
      </c>
      <c r="H21">
        <f t="shared" si="0"/>
        <v>62.415162943758112</v>
      </c>
    </row>
    <row r="22" spans="1:8" x14ac:dyDescent="0.25">
      <c r="A22" s="9">
        <v>43685</v>
      </c>
      <c r="B22" t="s">
        <v>294</v>
      </c>
      <c r="C22">
        <v>6</v>
      </c>
      <c r="D22">
        <v>-71.25</v>
      </c>
      <c r="E22">
        <v>0.18808728456497201</v>
      </c>
      <c r="F22">
        <v>14.486488342285099</v>
      </c>
      <c r="G22">
        <f t="shared" si="1"/>
        <v>17.300507754510562</v>
      </c>
      <c r="H22">
        <f t="shared" si="0"/>
        <v>91.981272389172887</v>
      </c>
    </row>
    <row r="23" spans="1:8" x14ac:dyDescent="0.25">
      <c r="A23" s="9">
        <v>43685</v>
      </c>
      <c r="B23" t="s">
        <v>295</v>
      </c>
      <c r="C23">
        <v>7</v>
      </c>
      <c r="D23">
        <v>-46.45</v>
      </c>
      <c r="E23">
        <v>9.0652704238892004E-2</v>
      </c>
      <c r="F23">
        <v>6.30558</v>
      </c>
      <c r="G23">
        <f t="shared" si="1"/>
        <v>7.0737930068095247</v>
      </c>
      <c r="H23">
        <f t="shared" si="0"/>
        <v>78.031792500843139</v>
      </c>
    </row>
    <row r="24" spans="1:8" x14ac:dyDescent="0.25">
      <c r="A24" s="9">
        <v>43685</v>
      </c>
      <c r="B24" t="s">
        <v>296</v>
      </c>
      <c r="C24">
        <v>8</v>
      </c>
      <c r="D24">
        <v>-71.16</v>
      </c>
      <c r="E24">
        <v>0.12744593620300301</v>
      </c>
      <c r="F24">
        <v>8.87713623046875</v>
      </c>
      <c r="G24">
        <f t="shared" si="1"/>
        <v>9.8612842169965731</v>
      </c>
      <c r="H24">
        <f t="shared" si="0"/>
        <v>77.376215443142641</v>
      </c>
    </row>
    <row r="25" spans="1:8" x14ac:dyDescent="0.25">
      <c r="A25" s="9">
        <v>43685</v>
      </c>
      <c r="B25" t="s">
        <v>297</v>
      </c>
      <c r="C25">
        <v>9</v>
      </c>
      <c r="D25">
        <v>-71.09</v>
      </c>
      <c r="E25">
        <v>0.194229796528816</v>
      </c>
      <c r="F25">
        <v>12.512954711914</v>
      </c>
      <c r="G25">
        <f t="shared" si="1"/>
        <v>14.563707405091382</v>
      </c>
      <c r="H25">
        <f t="shared" si="0"/>
        <v>74.981839374633253</v>
      </c>
    </row>
    <row r="26" spans="1:8" x14ac:dyDescent="0.25">
      <c r="A26" s="9">
        <v>43685</v>
      </c>
      <c r="B26" t="s">
        <v>298</v>
      </c>
      <c r="C26">
        <v>10</v>
      </c>
      <c r="D26">
        <v>-67.89</v>
      </c>
      <c r="E26">
        <v>0.12989149987697601</v>
      </c>
      <c r="F26">
        <v>10.6644630432128</v>
      </c>
      <c r="G26">
        <f t="shared" si="1"/>
        <v>12.197263325601513</v>
      </c>
      <c r="H26">
        <f t="shared" si="0"/>
        <v>93.903475879129061</v>
      </c>
    </row>
    <row r="27" spans="1:8" x14ac:dyDescent="0.25">
      <c r="A27" s="9">
        <v>43685</v>
      </c>
      <c r="B27" t="s">
        <v>299</v>
      </c>
      <c r="C27">
        <v>11</v>
      </c>
      <c r="D27">
        <v>-58.84</v>
      </c>
      <c r="E27">
        <v>0.113579370081425</v>
      </c>
      <c r="F27">
        <v>8.8155059814453107</v>
      </c>
      <c r="G27">
        <f t="shared" si="1"/>
        <v>10.015996490981438</v>
      </c>
      <c r="H27">
        <f t="shared" si="0"/>
        <v>88.18499771394201</v>
      </c>
    </row>
    <row r="29" spans="1:8" x14ac:dyDescent="0.25">
      <c r="G29" t="s">
        <v>300</v>
      </c>
      <c r="H29">
        <f>AVERAGE(H17:H27)</f>
        <v>80.821037313291512</v>
      </c>
    </row>
    <row r="31" spans="1:8" x14ac:dyDescent="0.25">
      <c r="A31" s="4" t="s">
        <v>301</v>
      </c>
    </row>
    <row r="32" spans="1:8" ht="45" x14ac:dyDescent="0.25">
      <c r="A32" s="7" t="s">
        <v>3</v>
      </c>
      <c r="B32" s="8" t="s">
        <v>4</v>
      </c>
      <c r="C32" s="7" t="s">
        <v>5</v>
      </c>
      <c r="D32" s="7" t="s">
        <v>6</v>
      </c>
      <c r="E32" s="7" t="s">
        <v>7</v>
      </c>
      <c r="F32" s="7" t="s">
        <v>8</v>
      </c>
      <c r="G32" s="7" t="s">
        <v>9</v>
      </c>
      <c r="H32" s="7" t="s">
        <v>10</v>
      </c>
    </row>
    <row r="33" spans="1:8" x14ac:dyDescent="0.25">
      <c r="A33" s="9">
        <v>43685</v>
      </c>
      <c r="B33" t="s">
        <v>302</v>
      </c>
      <c r="C33">
        <v>1</v>
      </c>
      <c r="D33">
        <v>-75.64</v>
      </c>
      <c r="E33">
        <v>0.147195234894753</v>
      </c>
      <c r="F33">
        <v>10.267555236816399</v>
      </c>
      <c r="G33">
        <f>F33/(1-(0.8*(F33/(ABS(D33)))))</f>
        <v>11.518381441932922</v>
      </c>
      <c r="H33">
        <f t="shared" ref="H33:H43" si="2">G33/E33</f>
        <v>78.252407084840442</v>
      </c>
    </row>
    <row r="34" spans="1:8" x14ac:dyDescent="0.25">
      <c r="A34" s="9">
        <v>43685</v>
      </c>
      <c r="B34" t="s">
        <v>303</v>
      </c>
      <c r="C34">
        <v>2</v>
      </c>
      <c r="D34">
        <v>-66.39</v>
      </c>
      <c r="E34">
        <v>0.20122793316841101</v>
      </c>
      <c r="F34">
        <v>16.242252349853501</v>
      </c>
      <c r="G34">
        <f t="shared" ref="G34:G43" si="3">F34/(1-(0.8*(F34/(ABS(D34)))))</f>
        <v>20.194754897737038</v>
      </c>
      <c r="H34">
        <f t="shared" si="2"/>
        <v>100.35761228455152</v>
      </c>
    </row>
    <row r="35" spans="1:8" x14ac:dyDescent="0.25">
      <c r="A35" s="9">
        <v>43685</v>
      </c>
      <c r="B35" t="s">
        <v>304</v>
      </c>
      <c r="C35">
        <v>3</v>
      </c>
      <c r="D35">
        <v>-69.03</v>
      </c>
      <c r="E35">
        <v>0.133782908320427</v>
      </c>
      <c r="F35">
        <v>8.2578620910644496</v>
      </c>
      <c r="G35">
        <f t="shared" si="3"/>
        <v>9.1317901028107435</v>
      </c>
      <c r="H35">
        <f t="shared" si="2"/>
        <v>68.258271683995318</v>
      </c>
    </row>
    <row r="36" spans="1:8" x14ac:dyDescent="0.25">
      <c r="A36" s="9">
        <v>43685</v>
      </c>
      <c r="B36" t="s">
        <v>305</v>
      </c>
      <c r="C36">
        <v>4</v>
      </c>
      <c r="D36">
        <v>-68.040000000000006</v>
      </c>
      <c r="E36">
        <v>0.13058514893055001</v>
      </c>
      <c r="F36">
        <v>9.8215065002441406</v>
      </c>
      <c r="G36">
        <f t="shared" si="3"/>
        <v>11.103759878542231</v>
      </c>
      <c r="H36">
        <f t="shared" si="2"/>
        <v>85.030801507510006</v>
      </c>
    </row>
    <row r="37" spans="1:8" x14ac:dyDescent="0.25">
      <c r="A37" s="9">
        <v>43685</v>
      </c>
      <c r="B37" t="s">
        <v>306</v>
      </c>
      <c r="C37">
        <v>5</v>
      </c>
      <c r="D37">
        <v>-67.45</v>
      </c>
      <c r="E37">
        <v>0.20742137730121599</v>
      </c>
      <c r="F37">
        <v>14.4816932678222</v>
      </c>
      <c r="G37">
        <f t="shared" si="3"/>
        <v>17.48494426430036</v>
      </c>
      <c r="H37">
        <f t="shared" si="2"/>
        <v>84.29673205239996</v>
      </c>
    </row>
    <row r="38" spans="1:8" x14ac:dyDescent="0.25">
      <c r="A38" s="9">
        <v>43685</v>
      </c>
      <c r="B38" t="s">
        <v>307</v>
      </c>
      <c r="C38">
        <v>6</v>
      </c>
      <c r="D38">
        <v>-69.63</v>
      </c>
      <c r="E38">
        <v>0.179749250411987</v>
      </c>
      <c r="F38">
        <v>15.3978576660156</v>
      </c>
      <c r="G38">
        <f t="shared" si="3"/>
        <v>18.707394299344141</v>
      </c>
      <c r="H38">
        <f t="shared" si="2"/>
        <v>104.07495027916175</v>
      </c>
    </row>
    <row r="39" spans="1:8" x14ac:dyDescent="0.25">
      <c r="A39" s="9">
        <v>43685</v>
      </c>
      <c r="C39">
        <v>7</v>
      </c>
      <c r="D39" s="1" t="s">
        <v>308</v>
      </c>
      <c r="E39" s="1" t="s">
        <v>308</v>
      </c>
      <c r="F39" s="1" t="s">
        <v>308</v>
      </c>
      <c r="G39" s="1" t="s">
        <v>308</v>
      </c>
      <c r="H39" s="1" t="s">
        <v>308</v>
      </c>
    </row>
    <row r="40" spans="1:8" x14ac:dyDescent="0.25">
      <c r="A40" s="9">
        <v>43685</v>
      </c>
      <c r="B40" t="s">
        <v>309</v>
      </c>
      <c r="C40">
        <v>8</v>
      </c>
      <c r="D40">
        <v>-65.489999999999995</v>
      </c>
      <c r="E40">
        <v>0.165985018014908</v>
      </c>
      <c r="F40">
        <v>11.0384407043457</v>
      </c>
      <c r="G40">
        <f t="shared" si="3"/>
        <v>12.758861340992722</v>
      </c>
      <c r="H40">
        <f t="shared" si="2"/>
        <v>76.867548008741252</v>
      </c>
    </row>
    <row r="41" spans="1:8" x14ac:dyDescent="0.25">
      <c r="A41" s="9">
        <v>43685</v>
      </c>
      <c r="B41" t="s">
        <v>310</v>
      </c>
      <c r="C41">
        <v>9</v>
      </c>
      <c r="D41">
        <v>-71.680000000000007</v>
      </c>
      <c r="E41">
        <v>0.22313670814037301</v>
      </c>
      <c r="F41">
        <v>17.614940643310501</v>
      </c>
      <c r="G41">
        <f t="shared" si="3"/>
        <v>21.925364731868505</v>
      </c>
      <c r="H41">
        <f t="shared" si="2"/>
        <v>98.259783944089932</v>
      </c>
    </row>
    <row r="42" spans="1:8" x14ac:dyDescent="0.25">
      <c r="A42" s="9">
        <v>43685</v>
      </c>
      <c r="B42" t="s">
        <v>311</v>
      </c>
      <c r="C42">
        <v>10</v>
      </c>
      <c r="D42">
        <v>-60.05</v>
      </c>
      <c r="E42">
        <v>8.9301116764544997E-2</v>
      </c>
      <c r="F42">
        <v>9.4823036193847603</v>
      </c>
      <c r="G42">
        <f t="shared" si="3"/>
        <v>10.853359012515222</v>
      </c>
      <c r="H42">
        <f t="shared" si="2"/>
        <v>121.53665492371877</v>
      </c>
    </row>
    <row r="43" spans="1:8" x14ac:dyDescent="0.25">
      <c r="A43" s="9">
        <v>43685</v>
      </c>
      <c r="B43" t="s">
        <v>312</v>
      </c>
      <c r="C43">
        <v>11</v>
      </c>
      <c r="D43">
        <v>-51.66</v>
      </c>
      <c r="E43">
        <v>0.10079349577426901</v>
      </c>
      <c r="F43">
        <v>6.1607780456542898</v>
      </c>
      <c r="G43">
        <f t="shared" si="3"/>
        <v>6.8105373826438367</v>
      </c>
      <c r="H43">
        <f t="shared" si="2"/>
        <v>67.569214961015959</v>
      </c>
    </row>
    <row r="45" spans="1:8" x14ac:dyDescent="0.25">
      <c r="G45" t="s">
        <v>300</v>
      </c>
      <c r="H45">
        <f>AVERAGE(H33:H38,H40:H43)</f>
        <v>88.450397673002485</v>
      </c>
    </row>
    <row r="46" spans="1:8" s="11" customFormat="1" ht="20.25" thickBot="1" x14ac:dyDescent="0.35"/>
    <row r="47" spans="1:8" ht="15.75" thickTop="1" x14ac:dyDescent="0.25"/>
    <row r="49" spans="5:8" x14ac:dyDescent="0.25">
      <c r="E49">
        <f>AVERAGE(E3:E12)</f>
        <v>0.19711338</v>
      </c>
      <c r="G49">
        <f>AVERAGE(G3:G12)</f>
        <v>3.2019742396317321</v>
      </c>
      <c r="H49">
        <f>AVERAGE(H3:H12)</f>
        <v>18.238299717541487</v>
      </c>
    </row>
    <row r="50" spans="5:8" x14ac:dyDescent="0.25">
      <c r="E50">
        <f>AVERAGE(E17:E27)</f>
        <v>0.14939269210481643</v>
      </c>
      <c r="G50">
        <f>AVERAGE(G17:G27)</f>
        <v>11.922189125463616</v>
      </c>
      <c r="H50">
        <f>AVERAGE(H17:H27)</f>
        <v>80.821037313291512</v>
      </c>
    </row>
    <row r="51" spans="5:8" x14ac:dyDescent="0.25">
      <c r="E51">
        <f>AVERAGE(E33:E38) + AVERAGE(E40:E43)</f>
        <v>0.31146439351141442</v>
      </c>
      <c r="G51">
        <f>AVERAGE(G33:G38) + AVERAGE(G40:G43)</f>
        <v>27.77720143111631</v>
      </c>
      <c r="H51">
        <f>AVERAGE(H33:H38) + AVERAGE(H40:H43)</f>
        <v>177.77009627480135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DA17-E888-40CE-80F6-17412C78026B}">
  <dimension ref="A1:AJ72"/>
  <sheetViews>
    <sheetView workbookViewId="0">
      <selection activeCell="M34" sqref="M34"/>
    </sheetView>
  </sheetViews>
  <sheetFormatPr defaultRowHeight="15" x14ac:dyDescent="0.25"/>
  <sheetData>
    <row r="1" spans="1:36" x14ac:dyDescent="0.25">
      <c r="A1" s="4" t="s">
        <v>2</v>
      </c>
      <c r="B1" s="5"/>
      <c r="P1" t="s">
        <v>470</v>
      </c>
      <c r="AA1" t="s">
        <v>471</v>
      </c>
    </row>
    <row r="2" spans="1:36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596</v>
      </c>
      <c r="G2" s="7" t="s">
        <v>553</v>
      </c>
      <c r="H2" s="7" t="s">
        <v>8</v>
      </c>
      <c r="I2" s="7" t="s">
        <v>596</v>
      </c>
      <c r="J2" s="7" t="s">
        <v>553</v>
      </c>
      <c r="K2" s="7" t="s">
        <v>9</v>
      </c>
      <c r="L2" s="7" t="s">
        <v>10</v>
      </c>
      <c r="M2" s="7" t="s">
        <v>11</v>
      </c>
      <c r="N2" s="28" t="s">
        <v>110</v>
      </c>
      <c r="O2" s="28"/>
      <c r="P2" t="s">
        <v>395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AA2" t="s">
        <v>395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</row>
    <row r="3" spans="1:36" x14ac:dyDescent="0.25">
      <c r="A3" t="s">
        <v>699</v>
      </c>
      <c r="B3" t="s">
        <v>691</v>
      </c>
      <c r="C3">
        <v>1</v>
      </c>
      <c r="D3">
        <v>-67.41</v>
      </c>
      <c r="E3">
        <v>0.20026549696922299</v>
      </c>
      <c r="F3">
        <v>1.12601435184478</v>
      </c>
      <c r="G3">
        <v>3.3976168632507302</v>
      </c>
      <c r="H3">
        <v>14.2261810302734</v>
      </c>
      <c r="K3">
        <f t="shared" ref="K3:K10" si="0">H3/(1-(0.8*(H3/(ABS(D3)))))</f>
        <v>17.115884967934544</v>
      </c>
      <c r="L3">
        <f t="shared" ref="L3:L10" si="1">K3/E3</f>
        <v>85.465970059560135</v>
      </c>
      <c r="P3">
        <v>13.291740417480399</v>
      </c>
      <c r="Q3">
        <v>16.595371246337798</v>
      </c>
      <c r="R3">
        <v>18.0460891723632</v>
      </c>
      <c r="S3">
        <v>17.1579780578613</v>
      </c>
      <c r="T3">
        <v>15.8109741210937</v>
      </c>
      <c r="U3">
        <v>16.2627258300781</v>
      </c>
      <c r="V3">
        <v>15.856727600097599</v>
      </c>
      <c r="W3">
        <v>16.065353393554599</v>
      </c>
      <c r="X3">
        <v>15.4850921630859</v>
      </c>
      <c r="Y3">
        <v>14.4920959472656</v>
      </c>
      <c r="AA3">
        <f>P3/P3</f>
        <v>1</v>
      </c>
      <c r="AB3">
        <f>Q3/P3</f>
        <v>1.2485476487723675</v>
      </c>
      <c r="AC3">
        <f>R3/P3</f>
        <v>1.3576919655028925</v>
      </c>
      <c r="AD3">
        <f>S3/P3</f>
        <v>1.2908751991045722</v>
      </c>
      <c r="AE3">
        <f>T3/P3</f>
        <v>1.1895337724396253</v>
      </c>
      <c r="AF3">
        <f>U3/P3</f>
        <v>1.2235211732460907</v>
      </c>
      <c r="AG3">
        <f>V3/P3</f>
        <v>1.1929760213526215</v>
      </c>
      <c r="AH3">
        <f>W3/P3</f>
        <v>1.2086719187222865</v>
      </c>
      <c r="AI3">
        <f>X3/P3</f>
        <v>1.1650161436135897</v>
      </c>
      <c r="AJ3">
        <f>Y3/P3</f>
        <v>1.0903083788942021</v>
      </c>
    </row>
    <row r="4" spans="1:36" x14ac:dyDescent="0.25">
      <c r="B4" t="s">
        <v>692</v>
      </c>
      <c r="C4">
        <v>2</v>
      </c>
      <c r="D4">
        <v>-70.13</v>
      </c>
      <c r="E4">
        <v>0.22531457245349901</v>
      </c>
      <c r="F4">
        <v>1.10164546966552</v>
      </c>
      <c r="G4">
        <v>2.7996842861175502</v>
      </c>
      <c r="H4">
        <v>13.324989318847599</v>
      </c>
      <c r="K4">
        <f t="shared" si="0"/>
        <v>15.713491956620485</v>
      </c>
      <c r="L4">
        <f t="shared" si="1"/>
        <v>69.740238216786778</v>
      </c>
      <c r="P4">
        <v>12.5333747863769</v>
      </c>
      <c r="Q4">
        <v>16.140087127685501</v>
      </c>
      <c r="R4">
        <v>17.104713439941399</v>
      </c>
      <c r="S4">
        <v>15.9921531677246</v>
      </c>
      <c r="T4">
        <v>16.897121429443299</v>
      </c>
      <c r="U4">
        <v>16.566722869873001</v>
      </c>
      <c r="V4">
        <v>15.6967468261718</v>
      </c>
      <c r="W4">
        <v>15.6386566162109</v>
      </c>
      <c r="X4">
        <v>14.718685150146401</v>
      </c>
      <c r="Y4">
        <v>11.8423194885253</v>
      </c>
      <c r="AA4">
        <f t="shared" ref="AA4:AA10" si="2">P4/P4</f>
        <v>1</v>
      </c>
      <c r="AB4">
        <f t="shared" ref="AB4:AB10" si="3">Q4/P4</f>
        <v>1.2877686499273047</v>
      </c>
      <c r="AC4">
        <f t="shared" ref="AC4:AC10" si="4">R4/P4</f>
        <v>1.3647332607122942</v>
      </c>
      <c r="AD4">
        <f t="shared" ref="AD4:AD10" si="5">S4/P4</f>
        <v>1.2759654474792539</v>
      </c>
      <c r="AE4">
        <f t="shared" ref="AE4:AE10" si="6">T4/P4</f>
        <v>1.3481701231666314</v>
      </c>
      <c r="AF4">
        <f t="shared" ref="AF4:AF10" si="7">U4/P4</f>
        <v>1.3218086231555233</v>
      </c>
      <c r="AG4">
        <f t="shared" ref="AG4:AG10" si="8">V4/P4</f>
        <v>1.2523958705227034</v>
      </c>
      <c r="AH4">
        <f t="shared" ref="AH4:AH10" si="9">W4/P4</f>
        <v>1.2477610286743579</v>
      </c>
      <c r="AI4">
        <f t="shared" ref="AI4:AI10" si="10">X4/P4</f>
        <v>1.1743592927696389</v>
      </c>
      <c r="AJ4">
        <f t="shared" ref="AJ4:AJ10" si="11">Y4/P4</f>
        <v>0.94486279157607733</v>
      </c>
    </row>
    <row r="5" spans="1:36" x14ac:dyDescent="0.25">
      <c r="B5" t="s">
        <v>693</v>
      </c>
      <c r="C5">
        <v>3</v>
      </c>
      <c r="D5">
        <v>-72.37</v>
      </c>
      <c r="E5">
        <v>0.16759663820266699</v>
      </c>
      <c r="F5">
        <v>1.16213655471801</v>
      </c>
      <c r="G5">
        <v>2.5492861270904501</v>
      </c>
      <c r="H5">
        <v>11.8567543029785</v>
      </c>
      <c r="K5">
        <f t="shared" si="0"/>
        <v>13.645206551024868</v>
      </c>
      <c r="L5">
        <f t="shared" si="1"/>
        <v>81.41694664856189</v>
      </c>
      <c r="P5">
        <v>12.1187591552734</v>
      </c>
      <c r="Q5">
        <v>11.781475067138601</v>
      </c>
      <c r="R5">
        <v>14.777763366699199</v>
      </c>
      <c r="S5">
        <v>13.764701843261699</v>
      </c>
      <c r="T5">
        <v>13.4544219970703</v>
      </c>
      <c r="U5">
        <v>13.0583992004394</v>
      </c>
      <c r="V5">
        <v>12.2444648742675</v>
      </c>
      <c r="W5">
        <v>12.0317726135253</v>
      </c>
      <c r="X5">
        <v>11.3792266845703</v>
      </c>
      <c r="Y5">
        <v>10.3531532287597</v>
      </c>
      <c r="AA5">
        <f t="shared" si="2"/>
        <v>1</v>
      </c>
      <c r="AB5">
        <f t="shared" si="3"/>
        <v>0.97216843046278112</v>
      </c>
      <c r="AC5">
        <f t="shared" si="4"/>
        <v>1.2194122498315969</v>
      </c>
      <c r="AD5">
        <f t="shared" si="5"/>
        <v>1.1358177571564394</v>
      </c>
      <c r="AE5">
        <f t="shared" si="6"/>
        <v>1.1102144885201135</v>
      </c>
      <c r="AF5">
        <f t="shared" si="7"/>
        <v>1.077535994661394</v>
      </c>
      <c r="AG5">
        <f t="shared" si="8"/>
        <v>1.010372820961575</v>
      </c>
      <c r="AH5">
        <f t="shared" si="9"/>
        <v>0.9928221577280667</v>
      </c>
      <c r="AI5">
        <f t="shared" si="10"/>
        <v>0.93897622180392148</v>
      </c>
      <c r="AJ5">
        <f t="shared" si="11"/>
        <v>0.85430802742330203</v>
      </c>
    </row>
    <row r="6" spans="1:36" x14ac:dyDescent="0.25">
      <c r="B6" t="s">
        <v>694</v>
      </c>
      <c r="C6">
        <v>4</v>
      </c>
      <c r="D6">
        <v>-70.41</v>
      </c>
      <c r="E6">
        <v>0.18541695177555101</v>
      </c>
      <c r="F6">
        <v>1.65466809272766</v>
      </c>
      <c r="G6">
        <v>3.4843218326568599</v>
      </c>
      <c r="H6">
        <v>8.6208801269531197</v>
      </c>
      <c r="K6">
        <f t="shared" si="0"/>
        <v>9.5569937152907531</v>
      </c>
      <c r="L6">
        <f t="shared" si="1"/>
        <v>51.54325763514646</v>
      </c>
      <c r="P6">
        <v>8.7499771118163991</v>
      </c>
      <c r="Q6">
        <v>9.7445602416992099</v>
      </c>
      <c r="R6">
        <v>10.7667541503906</v>
      </c>
      <c r="S6">
        <v>10.2362213134765</v>
      </c>
      <c r="T6">
        <v>9.9816131591796804</v>
      </c>
      <c r="U6">
        <v>10.077110290527299</v>
      </c>
      <c r="V6">
        <v>9.8807449340820295</v>
      </c>
      <c r="W6">
        <v>8.70751953125</v>
      </c>
      <c r="X6">
        <v>8.4845809936523402</v>
      </c>
      <c r="Y6">
        <v>7.9665374755859304</v>
      </c>
      <c r="AA6">
        <f t="shared" si="2"/>
        <v>1</v>
      </c>
      <c r="AB6">
        <f t="shared" si="3"/>
        <v>1.1136669407442994</v>
      </c>
      <c r="AC6">
        <f t="shared" si="4"/>
        <v>1.2304894073209227</v>
      </c>
      <c r="AD6">
        <f t="shared" si="5"/>
        <v>1.16985692450018</v>
      </c>
      <c r="AE6">
        <f t="shared" si="6"/>
        <v>1.1407587736086784</v>
      </c>
      <c r="AF6">
        <f t="shared" si="7"/>
        <v>1.1516727600257004</v>
      </c>
      <c r="AG6">
        <f t="shared" si="8"/>
        <v>1.1292309463002579</v>
      </c>
      <c r="AH6">
        <f t="shared" si="9"/>
        <v>0.99514769238549639</v>
      </c>
      <c r="AI6">
        <f t="shared" si="10"/>
        <v>0.96966893572719692</v>
      </c>
      <c r="AJ6">
        <f t="shared" si="11"/>
        <v>0.91046380736556742</v>
      </c>
    </row>
    <row r="7" spans="1:36" x14ac:dyDescent="0.25">
      <c r="B7" t="s">
        <v>695</v>
      </c>
      <c r="C7">
        <v>6</v>
      </c>
      <c r="D7">
        <v>-68.81</v>
      </c>
      <c r="E7">
        <v>0.18190091848373399</v>
      </c>
      <c r="F7">
        <v>0.99755644798278797</v>
      </c>
      <c r="G7">
        <v>5.9827237129211399</v>
      </c>
      <c r="H7">
        <v>12.7049903869628</v>
      </c>
      <c r="K7">
        <f t="shared" si="0"/>
        <v>14.90690369140972</v>
      </c>
      <c r="L7">
        <f t="shared" si="1"/>
        <v>81.950678510415173</v>
      </c>
      <c r="P7">
        <v>11.718898773193301</v>
      </c>
      <c r="Q7">
        <v>14.318660736083901</v>
      </c>
      <c r="R7">
        <v>15.1223487854003</v>
      </c>
      <c r="S7">
        <v>14.187339782714799</v>
      </c>
      <c r="T7">
        <v>14.224906921386699</v>
      </c>
      <c r="U7">
        <v>13.470317840576101</v>
      </c>
      <c r="V7">
        <v>13.277736663818301</v>
      </c>
      <c r="W7">
        <v>13.0753669738769</v>
      </c>
      <c r="X7">
        <v>12.009765625</v>
      </c>
      <c r="Y7">
        <v>12.472648620605399</v>
      </c>
      <c r="AA7">
        <f t="shared" si="2"/>
        <v>1</v>
      </c>
      <c r="AB7">
        <f t="shared" si="3"/>
        <v>1.2218435377936272</v>
      </c>
      <c r="AC7">
        <f t="shared" si="4"/>
        <v>1.2904240473509601</v>
      </c>
      <c r="AD7">
        <f t="shared" si="5"/>
        <v>1.2106376253686906</v>
      </c>
      <c r="AE7">
        <f t="shared" si="6"/>
        <v>1.2138433138381426</v>
      </c>
      <c r="AF7">
        <f t="shared" si="7"/>
        <v>1.1494525297367642</v>
      </c>
      <c r="AG7">
        <f t="shared" si="8"/>
        <v>1.1330191446137245</v>
      </c>
      <c r="AH7">
        <f t="shared" si="9"/>
        <v>1.1157504836364391</v>
      </c>
      <c r="AI7">
        <f t="shared" si="10"/>
        <v>1.0248203229190826</v>
      </c>
      <c r="AJ7">
        <f t="shared" si="11"/>
        <v>1.0643191704271977</v>
      </c>
    </row>
    <row r="8" spans="1:36" x14ac:dyDescent="0.25">
      <c r="B8" t="s">
        <v>696</v>
      </c>
      <c r="C8">
        <v>7</v>
      </c>
      <c r="D8">
        <v>-70.12</v>
      </c>
      <c r="E8">
        <v>0.51437294483184803</v>
      </c>
      <c r="F8">
        <v>0.97804737091064498</v>
      </c>
      <c r="G8">
        <v>4.8886871337890598</v>
      </c>
      <c r="H8">
        <v>18.318161010742099</v>
      </c>
      <c r="K8">
        <f t="shared" si="0"/>
        <v>23.158001230002142</v>
      </c>
      <c r="L8">
        <f t="shared" si="1"/>
        <v>45.021810463947801</v>
      </c>
      <c r="P8">
        <v>18.111190795898398</v>
      </c>
      <c r="Q8">
        <v>18.817733764648398</v>
      </c>
      <c r="R8">
        <v>20.933238983154201</v>
      </c>
      <c r="S8">
        <v>21.4055976867675</v>
      </c>
      <c r="T8">
        <v>19.759895324706999</v>
      </c>
      <c r="U8">
        <v>18.716789245605401</v>
      </c>
      <c r="V8">
        <v>19.577629089355401</v>
      </c>
      <c r="W8">
        <v>18.209323883056602</v>
      </c>
      <c r="X8">
        <v>17.8241653442382</v>
      </c>
      <c r="Y8">
        <v>17.441818237304599</v>
      </c>
      <c r="AA8">
        <f t="shared" si="2"/>
        <v>1</v>
      </c>
      <c r="AB8">
        <f t="shared" si="3"/>
        <v>1.0390114033203166</v>
      </c>
      <c r="AC8">
        <f t="shared" si="4"/>
        <v>1.1558179260026848</v>
      </c>
      <c r="AD8">
        <f t="shared" si="5"/>
        <v>1.1818989666662436</v>
      </c>
      <c r="AE8">
        <f t="shared" si="6"/>
        <v>1.0910323648725504</v>
      </c>
      <c r="AF8">
        <f t="shared" si="7"/>
        <v>1.0334378040920507</v>
      </c>
      <c r="AG8">
        <f t="shared" si="8"/>
        <v>1.0809686292846687</v>
      </c>
      <c r="AH8">
        <f t="shared" si="9"/>
        <v>1.0054183674758939</v>
      </c>
      <c r="AI8">
        <f t="shared" si="10"/>
        <v>0.98415203865417833</v>
      </c>
      <c r="AJ8">
        <f t="shared" si="11"/>
        <v>0.96304094158483544</v>
      </c>
    </row>
    <row r="9" spans="1:36" x14ac:dyDescent="0.25">
      <c r="B9" t="s">
        <v>697</v>
      </c>
      <c r="C9">
        <v>8</v>
      </c>
      <c r="D9">
        <v>-64.849999999999994</v>
      </c>
      <c r="E9">
        <v>0.20772503316402399</v>
      </c>
      <c r="F9">
        <v>0.78228724002838101</v>
      </c>
      <c r="G9">
        <v>3.0640289783477699</v>
      </c>
      <c r="H9">
        <v>15.1798553466796</v>
      </c>
      <c r="K9">
        <f t="shared" si="0"/>
        <v>18.677407844133935</v>
      </c>
      <c r="L9">
        <f t="shared" si="1"/>
        <v>89.914092488726993</v>
      </c>
      <c r="P9">
        <v>14.214607238769499</v>
      </c>
      <c r="Q9">
        <v>16.944766998291001</v>
      </c>
      <c r="R9">
        <v>17.2958068847656</v>
      </c>
      <c r="S9">
        <v>19.27880859375</v>
      </c>
      <c r="T9">
        <v>17.8399658203125</v>
      </c>
      <c r="U9">
        <v>16.250553131103501</v>
      </c>
      <c r="V9">
        <v>14.776206970214799</v>
      </c>
      <c r="W9">
        <v>14.606529235839799</v>
      </c>
      <c r="X9">
        <v>14.348781585693301</v>
      </c>
      <c r="Y9">
        <v>12.5980911254882</v>
      </c>
      <c r="AA9">
        <f t="shared" si="2"/>
        <v>1</v>
      </c>
      <c r="AB9">
        <f t="shared" si="3"/>
        <v>1.1920671963468081</v>
      </c>
      <c r="AC9">
        <f t="shared" si="4"/>
        <v>1.2167629111546825</v>
      </c>
      <c r="AD9">
        <f t="shared" si="5"/>
        <v>1.3562674135074371</v>
      </c>
      <c r="AE9">
        <f t="shared" si="6"/>
        <v>1.2550445834095965</v>
      </c>
      <c r="AF9">
        <f t="shared" si="7"/>
        <v>1.1432291345188266</v>
      </c>
      <c r="AG9">
        <f t="shared" si="8"/>
        <v>1.0395086351674614</v>
      </c>
      <c r="AH9">
        <f t="shared" si="9"/>
        <v>1.0275717781354772</v>
      </c>
      <c r="AI9">
        <f t="shared" si="10"/>
        <v>1.0094391877784599</v>
      </c>
      <c r="AJ9">
        <f t="shared" si="11"/>
        <v>0.88627782068629035</v>
      </c>
    </row>
    <row r="10" spans="1:36" x14ac:dyDescent="0.25">
      <c r="B10" t="s">
        <v>698</v>
      </c>
      <c r="C10">
        <v>9</v>
      </c>
      <c r="D10">
        <v>-58.52</v>
      </c>
      <c r="E10">
        <v>0.199026003479958</v>
      </c>
      <c r="F10">
        <v>0.99232852458953902</v>
      </c>
      <c r="G10">
        <v>3.2941074371337802</v>
      </c>
      <c r="H10">
        <v>18.1750984191894</v>
      </c>
      <c r="K10">
        <f t="shared" si="0"/>
        <v>24.183916862668461</v>
      </c>
      <c r="L10">
        <f t="shared" si="1"/>
        <v>121.51134243673738</v>
      </c>
      <c r="P10">
        <v>17.969467163085898</v>
      </c>
      <c r="Q10">
        <v>19.0989685058593</v>
      </c>
      <c r="R10">
        <v>19.4465217590332</v>
      </c>
      <c r="S10">
        <v>18.105430603027301</v>
      </c>
      <c r="T10">
        <v>17.949172973632798</v>
      </c>
      <c r="U10">
        <v>16.2727241516113</v>
      </c>
      <c r="V10">
        <v>16.542293548583899</v>
      </c>
      <c r="W10">
        <v>14.9602088928222</v>
      </c>
      <c r="X10">
        <v>16.063316345214801</v>
      </c>
      <c r="Y10">
        <v>13.530071258544901</v>
      </c>
      <c r="AA10">
        <f t="shared" si="2"/>
        <v>1</v>
      </c>
      <c r="AB10">
        <f t="shared" si="3"/>
        <v>1.0628566964463866</v>
      </c>
      <c r="AC10">
        <f t="shared" si="4"/>
        <v>1.0821980185913118</v>
      </c>
      <c r="AD10">
        <f t="shared" si="5"/>
        <v>1.0075663590192985</v>
      </c>
      <c r="AE10">
        <f t="shared" si="6"/>
        <v>0.99887062931421866</v>
      </c>
      <c r="AF10">
        <f t="shared" si="7"/>
        <v>0.9055763314473696</v>
      </c>
      <c r="AG10">
        <f t="shared" si="8"/>
        <v>0.92057785567321682</v>
      </c>
      <c r="AH10">
        <f t="shared" si="9"/>
        <v>0.83253491920753653</v>
      </c>
      <c r="AI10">
        <f t="shared" si="10"/>
        <v>0.89392279689924015</v>
      </c>
      <c r="AJ10">
        <f t="shared" si="11"/>
        <v>0.75294782732007171</v>
      </c>
    </row>
    <row r="12" spans="1:36" x14ac:dyDescent="0.25">
      <c r="A12" t="s">
        <v>700</v>
      </c>
      <c r="B12" t="s">
        <v>701</v>
      </c>
      <c r="C12">
        <v>1</v>
      </c>
      <c r="D12">
        <v>-60.05</v>
      </c>
      <c r="E12">
        <v>0.241054832935333</v>
      </c>
      <c r="F12">
        <v>1.10349333286285</v>
      </c>
      <c r="G12">
        <v>5.0087800025939897</v>
      </c>
      <c r="H12">
        <v>13.4668579101562</v>
      </c>
      <c r="K12">
        <v>16.411161367660696</v>
      </c>
      <c r="L12">
        <v>68.080615384563828</v>
      </c>
      <c r="P12">
        <v>13.322685241699199</v>
      </c>
      <c r="Q12">
        <v>15.6115455627441</v>
      </c>
      <c r="R12">
        <v>15.3819007873535</v>
      </c>
      <c r="S12">
        <v>15.8033599853515</v>
      </c>
      <c r="T12">
        <v>15.801521301269499</v>
      </c>
      <c r="U12">
        <v>14.567165374755801</v>
      </c>
      <c r="V12">
        <v>14.835823059081999</v>
      </c>
      <c r="W12">
        <v>13.7508392333984</v>
      </c>
      <c r="X12">
        <v>13.8680725097656</v>
      </c>
      <c r="Y12">
        <v>12.347209930419901</v>
      </c>
      <c r="AA12">
        <v>1</v>
      </c>
      <c r="AB12">
        <v>1.1718017261175626</v>
      </c>
      <c r="AC12">
        <v>1.1545646022777061</v>
      </c>
      <c r="AD12">
        <v>1.1861993058192157</v>
      </c>
      <c r="AE12">
        <v>1.1860612942961148</v>
      </c>
      <c r="AF12">
        <v>1.0934106083330299</v>
      </c>
      <c r="AG12">
        <v>1.1135760389089409</v>
      </c>
      <c r="AH12">
        <v>1.032137214377707</v>
      </c>
      <c r="AI12">
        <v>1.0409367374648597</v>
      </c>
      <c r="AJ12">
        <v>0.92678087836030831</v>
      </c>
    </row>
    <row r="13" spans="1:36" x14ac:dyDescent="0.25">
      <c r="B13" t="s">
        <v>702</v>
      </c>
      <c r="C13">
        <v>2</v>
      </c>
      <c r="D13">
        <v>-64.930000000000007</v>
      </c>
      <c r="E13">
        <v>0.182045012712479</v>
      </c>
      <c r="F13">
        <v>1.2287222146987899</v>
      </c>
      <c r="G13">
        <v>5.6465559005737296</v>
      </c>
      <c r="H13">
        <v>11.223159790039</v>
      </c>
      <c r="K13">
        <v>13.024139257311823</v>
      </c>
      <c r="L13">
        <v>71.543510383786696</v>
      </c>
      <c r="P13">
        <v>11.920894622802701</v>
      </c>
      <c r="Q13">
        <v>12.466304779052701</v>
      </c>
      <c r="R13">
        <v>12.4666328430175</v>
      </c>
      <c r="S13">
        <v>12.6275215148925</v>
      </c>
      <c r="T13">
        <v>12.5664710998535</v>
      </c>
      <c r="U13">
        <v>11.971828460693301</v>
      </c>
      <c r="V13">
        <v>11.087604522705</v>
      </c>
      <c r="W13">
        <v>10.421749114990201</v>
      </c>
      <c r="X13">
        <v>11.432731628417899</v>
      </c>
      <c r="Y13">
        <v>10.3895606994628</v>
      </c>
      <c r="AA13">
        <v>1</v>
      </c>
      <c r="AB13">
        <v>1.0457524517670611</v>
      </c>
      <c r="AC13">
        <v>1.0457799718463152</v>
      </c>
      <c r="AD13">
        <v>1.0592763307158288</v>
      </c>
      <c r="AE13">
        <v>1.0541550359665053</v>
      </c>
      <c r="AF13">
        <v>1.0042726523052365</v>
      </c>
      <c r="AG13">
        <v>0.93009835868326907</v>
      </c>
      <c r="AH13">
        <v>0.87424219781752932</v>
      </c>
      <c r="AI13">
        <v>0.95904980206342683</v>
      </c>
      <c r="AJ13">
        <v>0.87154203004104136</v>
      </c>
    </row>
    <row r="14" spans="1:36" x14ac:dyDescent="0.25">
      <c r="B14" t="s">
        <v>703</v>
      </c>
      <c r="C14">
        <v>3</v>
      </c>
      <c r="D14">
        <v>-65.88</v>
      </c>
      <c r="E14">
        <v>0.10501903295517</v>
      </c>
      <c r="F14">
        <v>1.40306437015533</v>
      </c>
      <c r="G14">
        <v>2.8539621829986501</v>
      </c>
      <c r="H14">
        <v>6.5092239379882804</v>
      </c>
      <c r="K14">
        <v>7.0678943323976879</v>
      </c>
      <c r="L14">
        <v>67.30107994247858</v>
      </c>
      <c r="P14">
        <v>5.7193336486816397</v>
      </c>
      <c r="Q14">
        <v>6.2343788146972603</v>
      </c>
      <c r="R14">
        <v>6.6304359436035103</v>
      </c>
      <c r="S14">
        <v>6.4491043090820304</v>
      </c>
      <c r="T14">
        <v>7.2948265075683496</v>
      </c>
      <c r="U14">
        <v>5.8293724060058496</v>
      </c>
      <c r="V14">
        <v>5.2745552062988201</v>
      </c>
      <c r="W14">
        <v>6.0303916931152299</v>
      </c>
      <c r="X14">
        <v>5.6072883605956996</v>
      </c>
      <c r="Y14">
        <v>5.7407798767089799</v>
      </c>
      <c r="AA14">
        <v>1</v>
      </c>
      <c r="AB14">
        <v>1.0900533519554929</v>
      </c>
      <c r="AC14">
        <v>1.1593021758980415</v>
      </c>
      <c r="AD14">
        <v>1.1275971477146836</v>
      </c>
      <c r="AE14">
        <v>1.2754679051203588</v>
      </c>
      <c r="AF14">
        <v>1.0192397863253833</v>
      </c>
      <c r="AG14">
        <v>0.9222324715248349</v>
      </c>
      <c r="AH14">
        <v>1.0543871128248117</v>
      </c>
      <c r="AI14">
        <v>0.98040938071312422</v>
      </c>
      <c r="AJ14">
        <v>1.0037497773944843</v>
      </c>
    </row>
    <row r="15" spans="1:36" x14ac:dyDescent="0.25">
      <c r="B15" t="s">
        <v>704</v>
      </c>
      <c r="C15">
        <v>4</v>
      </c>
      <c r="D15">
        <v>-58.21</v>
      </c>
      <c r="E15">
        <v>0.139197587966919</v>
      </c>
      <c r="F15">
        <v>1.3169912099838199</v>
      </c>
      <c r="G15">
        <v>3.6201245784759499</v>
      </c>
      <c r="H15">
        <v>6.8147392272949201</v>
      </c>
      <c r="K15">
        <v>7.5189431334153136</v>
      </c>
      <c r="L15">
        <v>54.016332058873232</v>
      </c>
      <c r="P15">
        <v>6.3801307678222603</v>
      </c>
      <c r="Q15">
        <v>7.4856948852539</v>
      </c>
      <c r="R15">
        <v>7.9193954467773402</v>
      </c>
      <c r="S15">
        <v>7.7286682128906197</v>
      </c>
      <c r="T15">
        <v>7.6693191528320304</v>
      </c>
      <c r="U15">
        <v>7.6285705566406197</v>
      </c>
      <c r="V15">
        <v>6.0820198059081996</v>
      </c>
      <c r="W15">
        <v>6.94146728515625</v>
      </c>
      <c r="X15">
        <v>5.6397323608398402</v>
      </c>
      <c r="Y15">
        <v>6.0990142822265598</v>
      </c>
      <c r="AA15">
        <v>1</v>
      </c>
      <c r="AB15">
        <v>1.173282360137111</v>
      </c>
      <c r="AC15">
        <v>1.2412591112894193</v>
      </c>
      <c r="AD15">
        <v>1.2113651732452904</v>
      </c>
      <c r="AE15">
        <v>1.2020630033966859</v>
      </c>
      <c r="AF15">
        <v>1.1956762070010818</v>
      </c>
      <c r="AG15">
        <v>0.95327510159861262</v>
      </c>
      <c r="AH15">
        <v>1.0879819768217058</v>
      </c>
      <c r="AI15">
        <v>0.88395247152040091</v>
      </c>
      <c r="AJ15">
        <v>0.95593875802460171</v>
      </c>
    </row>
    <row r="16" spans="1:36" x14ac:dyDescent="0.25">
      <c r="B16" t="s">
        <v>705</v>
      </c>
      <c r="C16">
        <v>5</v>
      </c>
      <c r="D16">
        <v>-75.17</v>
      </c>
      <c r="E16">
        <v>0.107877217233181</v>
      </c>
      <c r="F16">
        <v>1.0911389589309599</v>
      </c>
      <c r="G16">
        <v>2.88028860092163</v>
      </c>
      <c r="H16">
        <v>7.0990066528320304</v>
      </c>
      <c r="K16">
        <v>7.6791801355578029</v>
      </c>
      <c r="L16">
        <v>71.18444776860477</v>
      </c>
      <c r="P16">
        <v>7.2758941650390598</v>
      </c>
      <c r="Q16">
        <v>7.7459259033203098</v>
      </c>
      <c r="R16">
        <v>8.0702819824218697</v>
      </c>
      <c r="S16">
        <v>7.6822967529296804</v>
      </c>
      <c r="T16">
        <v>7.5527648925781197</v>
      </c>
      <c r="U16">
        <v>7.49285888671875</v>
      </c>
      <c r="V16">
        <v>7.5401077270507804</v>
      </c>
      <c r="W16">
        <v>7.7427902221679599</v>
      </c>
      <c r="X16">
        <v>7.8594818115234304</v>
      </c>
      <c r="Y16">
        <v>6.9283523559570304</v>
      </c>
      <c r="AA16">
        <v>1</v>
      </c>
      <c r="AB16">
        <v>1.0646012335555635</v>
      </c>
      <c r="AC16">
        <v>1.1091807823703475</v>
      </c>
      <c r="AD16">
        <v>1.0558560334540599</v>
      </c>
      <c r="AE16">
        <v>1.0380531548781227</v>
      </c>
      <c r="AF16">
        <v>1.029819664326924</v>
      </c>
      <c r="AG16">
        <v>1.0363135521241191</v>
      </c>
      <c r="AH16">
        <v>1.0641702650613518</v>
      </c>
      <c r="AI16">
        <v>1.0802083748398281</v>
      </c>
      <c r="AJ16">
        <v>0.95223380093240217</v>
      </c>
    </row>
    <row r="17" spans="1:36" x14ac:dyDescent="0.25">
      <c r="B17" t="s">
        <v>706</v>
      </c>
      <c r="C17">
        <v>7</v>
      </c>
      <c r="D17">
        <v>-65.52</v>
      </c>
      <c r="E17">
        <v>0.206373617053032</v>
      </c>
      <c r="F17">
        <v>1.2499262094497601</v>
      </c>
      <c r="G17">
        <v>5.9648327827453604</v>
      </c>
      <c r="H17">
        <v>10.8577346801757</v>
      </c>
      <c r="K17">
        <v>12.517175040844954</v>
      </c>
      <c r="L17">
        <v>60.652980839253331</v>
      </c>
      <c r="P17">
        <v>9.9313392639160103</v>
      </c>
      <c r="Q17">
        <v>12.206382751464799</v>
      </c>
      <c r="R17">
        <v>10.962173461914</v>
      </c>
      <c r="S17">
        <v>12.3957710266113</v>
      </c>
      <c r="T17">
        <v>10.9868392944335</v>
      </c>
      <c r="U17">
        <v>11.4807319641113</v>
      </c>
      <c r="V17">
        <v>10.5484657287597</v>
      </c>
      <c r="W17">
        <v>10.118370056152299</v>
      </c>
      <c r="X17">
        <v>8.9604377746581996</v>
      </c>
      <c r="Y17">
        <v>9.2885513305663991</v>
      </c>
      <c r="AA17">
        <v>1</v>
      </c>
      <c r="AB17">
        <v>1.2290772097389533</v>
      </c>
      <c r="AC17">
        <v>1.1037960914036404</v>
      </c>
      <c r="AD17">
        <v>1.2481469716425277</v>
      </c>
      <c r="AE17">
        <v>1.1062797274837328</v>
      </c>
      <c r="AF17">
        <v>1.1560104492477434</v>
      </c>
      <c r="AG17">
        <v>1.0621392994886323</v>
      </c>
      <c r="AH17">
        <v>1.0188323837567241</v>
      </c>
      <c r="AI17">
        <v>0.90223861420327955</v>
      </c>
      <c r="AJ17">
        <v>0.93527681249546257</v>
      </c>
    </row>
    <row r="18" spans="1:36" x14ac:dyDescent="0.25">
      <c r="B18" t="s">
        <v>707</v>
      </c>
      <c r="C18">
        <v>8</v>
      </c>
      <c r="D18">
        <v>-71.510000000000005</v>
      </c>
      <c r="E18">
        <v>0.397041976451874</v>
      </c>
      <c r="F18">
        <v>1.5768862962722701</v>
      </c>
      <c r="G18">
        <v>6.7427234649658203</v>
      </c>
      <c r="H18">
        <v>14.9258422851562</v>
      </c>
      <c r="K18">
        <v>17.917727971807331</v>
      </c>
      <c r="L18">
        <v>45.128044475113988</v>
      </c>
      <c r="P18">
        <v>13.632137298583901</v>
      </c>
      <c r="Q18">
        <v>14.176063537597599</v>
      </c>
      <c r="R18">
        <v>14.830364227294901</v>
      </c>
      <c r="S18">
        <v>15.721549987792899</v>
      </c>
      <c r="T18">
        <v>15.520256042480399</v>
      </c>
      <c r="U18">
        <v>13.905315399169901</v>
      </c>
      <c r="V18">
        <v>14.3758239746093</v>
      </c>
      <c r="W18">
        <v>13.6161994934082</v>
      </c>
      <c r="X18">
        <v>14.579021453857401</v>
      </c>
      <c r="Y18">
        <v>13.922019958496</v>
      </c>
      <c r="AA18">
        <v>1</v>
      </c>
      <c r="AB18">
        <v>1.0399002905487316</v>
      </c>
      <c r="AC18">
        <v>1.0878972168828926</v>
      </c>
      <c r="AD18">
        <v>1.1532711007411909</v>
      </c>
      <c r="AE18">
        <v>1.1385049682629469</v>
      </c>
      <c r="AF18">
        <v>1.0200392715098592</v>
      </c>
      <c r="AG18">
        <v>1.0545539308867329</v>
      </c>
      <c r="AH18">
        <v>0.99883086526884113</v>
      </c>
      <c r="AI18">
        <v>1.0694596991311012</v>
      </c>
      <c r="AJ18">
        <v>1.0212646523111393</v>
      </c>
    </row>
    <row r="19" spans="1:36" x14ac:dyDescent="0.25">
      <c r="B19" t="s">
        <v>708</v>
      </c>
      <c r="C19">
        <v>9</v>
      </c>
      <c r="D19">
        <v>-54.33</v>
      </c>
      <c r="E19">
        <v>9.8937578499317003E-2</v>
      </c>
      <c r="F19">
        <v>0.98501408100128196</v>
      </c>
      <c r="G19">
        <v>3.1016178131103498</v>
      </c>
      <c r="H19">
        <v>2.8881301879882799</v>
      </c>
      <c r="K19">
        <v>3.0164097239051104</v>
      </c>
      <c r="L19">
        <v>30.488008395373591</v>
      </c>
      <c r="P19">
        <v>2.6980552673339799</v>
      </c>
      <c r="Q19">
        <v>3.1797447204589799</v>
      </c>
      <c r="R19">
        <v>3.0497627258300701</v>
      </c>
      <c r="S19">
        <v>3.02024841308593</v>
      </c>
      <c r="T19">
        <v>2.87249755859375</v>
      </c>
      <c r="U19">
        <v>3.01615905761718</v>
      </c>
      <c r="V19">
        <v>2.8846206665039</v>
      </c>
      <c r="W19">
        <v>2.5765113830566402</v>
      </c>
      <c r="X19">
        <v>2.8154411315917902</v>
      </c>
      <c r="Y19">
        <v>2.5731010437011701</v>
      </c>
      <c r="AA19">
        <v>1</v>
      </c>
      <c r="AB19">
        <v>1.1785320927102321</v>
      </c>
      <c r="AC19">
        <v>1.1303559132958836</v>
      </c>
      <c r="AD19">
        <v>1.1194168072288295</v>
      </c>
      <c r="AE19">
        <v>1.0646548250407566</v>
      </c>
      <c r="AF19">
        <v>1.1179011394371943</v>
      </c>
      <c r="AG19">
        <v>1.0691481013857327</v>
      </c>
      <c r="AH19">
        <v>0.95495129927511069</v>
      </c>
      <c r="AI19">
        <v>1.0435075832874996</v>
      </c>
      <c r="AJ19">
        <v>0.95368730020260839</v>
      </c>
    </row>
    <row r="20" spans="1:36" x14ac:dyDescent="0.25">
      <c r="B20" t="s">
        <v>709</v>
      </c>
      <c r="C20">
        <v>10</v>
      </c>
      <c r="D20">
        <v>-58.2</v>
      </c>
      <c r="E20">
        <v>0.12012744694948201</v>
      </c>
      <c r="F20">
        <v>1.2306773662567101</v>
      </c>
      <c r="G20">
        <v>2.44397521018981</v>
      </c>
      <c r="H20">
        <v>7.2174034118652299</v>
      </c>
      <c r="K20">
        <v>8.0122889302430469</v>
      </c>
      <c r="L20">
        <v>66.698237028316342</v>
      </c>
      <c r="P20">
        <v>6.4914360046386701</v>
      </c>
      <c r="Q20">
        <v>7.3546142578125</v>
      </c>
      <c r="R20">
        <v>8.04132080078125</v>
      </c>
      <c r="S20">
        <v>7.5709152221679599</v>
      </c>
      <c r="T20">
        <v>7.6816329956054599</v>
      </c>
      <c r="U20">
        <v>6.7809867858886701</v>
      </c>
      <c r="V20">
        <v>7.6202812194824201</v>
      </c>
      <c r="W20">
        <v>6.4445877075195304</v>
      </c>
      <c r="X20">
        <v>5.7552566528320304</v>
      </c>
      <c r="Y20">
        <v>6.1539993286132804</v>
      </c>
      <c r="AA20">
        <v>1</v>
      </c>
      <c r="AB20">
        <v>1.1329718497659096</v>
      </c>
      <c r="AC20">
        <v>1.2387583879799569</v>
      </c>
      <c r="AD20">
        <v>1.1662928228450395</v>
      </c>
      <c r="AE20">
        <v>1.1833487983423536</v>
      </c>
      <c r="AF20">
        <v>1.0446050428661844</v>
      </c>
      <c r="AG20">
        <v>1.1738976112584483</v>
      </c>
      <c r="AH20">
        <v>0.99278306108453307</v>
      </c>
      <c r="AI20">
        <v>0.88659221915142061</v>
      </c>
      <c r="AJ20">
        <v>0.94801817721313697</v>
      </c>
    </row>
    <row r="21" spans="1:36" x14ac:dyDescent="0.25">
      <c r="B21" t="s">
        <v>710</v>
      </c>
      <c r="C21">
        <v>11</v>
      </c>
      <c r="D21">
        <v>-58.71</v>
      </c>
      <c r="E21">
        <v>0.16208772361278501</v>
      </c>
      <c r="F21">
        <v>1.3935854434967001</v>
      </c>
      <c r="G21">
        <v>3.0767617225646902</v>
      </c>
      <c r="H21">
        <v>9.0719032287597603</v>
      </c>
      <c r="K21">
        <v>10.351521740031716</v>
      </c>
      <c r="L21">
        <v>63.863699910800761</v>
      </c>
      <c r="P21">
        <v>9.3342628479003906</v>
      </c>
      <c r="Q21">
        <v>9.2591552734375</v>
      </c>
      <c r="R21">
        <v>9.2127723693847603</v>
      </c>
      <c r="S21">
        <v>8.9079170227050692</v>
      </c>
      <c r="T21">
        <v>9.3039894104003906</v>
      </c>
      <c r="U21">
        <v>9.3001060485839808</v>
      </c>
      <c r="V21">
        <v>8.8180770874023402</v>
      </c>
      <c r="W21">
        <v>8.0774154663085902</v>
      </c>
      <c r="X21">
        <v>7.8495101928710902</v>
      </c>
      <c r="Y21">
        <v>8.3709220886230398</v>
      </c>
      <c r="AA21">
        <v>1</v>
      </c>
      <c r="AB21">
        <v>0.99195356123062417</v>
      </c>
      <c r="AC21">
        <v>0.98698445924490352</v>
      </c>
      <c r="AD21">
        <v>0.95432463900550846</v>
      </c>
      <c r="AE21">
        <v>0.99675674040968221</v>
      </c>
      <c r="AF21">
        <v>0.99634070736243596</v>
      </c>
      <c r="AG21">
        <v>0.94469989018852629</v>
      </c>
      <c r="AH21">
        <v>0.86535119033266672</v>
      </c>
      <c r="AI21">
        <v>0.84093519978781461</v>
      </c>
      <c r="AJ21">
        <v>0.8967951969025556</v>
      </c>
    </row>
    <row r="22" spans="1:36" x14ac:dyDescent="0.25">
      <c r="B22" t="s">
        <v>711</v>
      </c>
      <c r="C22">
        <v>12</v>
      </c>
      <c r="D22">
        <v>-64.430000000000007</v>
      </c>
      <c r="E22">
        <v>9.7514428198337999E-2</v>
      </c>
      <c r="F22">
        <v>1.7658013105392401</v>
      </c>
      <c r="G22">
        <v>2.76670050621032</v>
      </c>
      <c r="H22">
        <v>3.89836120605468</v>
      </c>
      <c r="K22">
        <v>4.096657015898419</v>
      </c>
      <c r="L22">
        <v>42.010778215979336</v>
      </c>
      <c r="P22">
        <v>4.336669921875</v>
      </c>
      <c r="Q22">
        <v>4.5572509765625</v>
      </c>
      <c r="R22">
        <v>4.6456336975097603</v>
      </c>
      <c r="S22">
        <v>4.7916526794433496</v>
      </c>
      <c r="T22">
        <v>4.6313934326171804</v>
      </c>
      <c r="U22">
        <v>4.3924255371093697</v>
      </c>
      <c r="V22">
        <v>4.2721366882324201</v>
      </c>
      <c r="W22">
        <v>3.8645591735839799</v>
      </c>
      <c r="X22">
        <v>4.1221885681152299</v>
      </c>
      <c r="Y22">
        <v>3.6684150695800701</v>
      </c>
      <c r="AA22">
        <v>1</v>
      </c>
      <c r="AB22">
        <v>1.0508641558295333</v>
      </c>
      <c r="AC22">
        <v>1.0712444758768214</v>
      </c>
      <c r="AD22">
        <v>1.1049152381354479</v>
      </c>
      <c r="AE22">
        <v>1.0679607892810883</v>
      </c>
      <c r="AF22">
        <v>1.0128567809491629</v>
      </c>
      <c r="AG22">
        <v>0.98511917328153986</v>
      </c>
      <c r="AH22">
        <v>0.89113518972020389</v>
      </c>
      <c r="AI22">
        <v>0.95054238445082373</v>
      </c>
      <c r="AJ22">
        <v>0.84590599138658829</v>
      </c>
    </row>
    <row r="24" spans="1:36" x14ac:dyDescent="0.25">
      <c r="A24" t="s">
        <v>712</v>
      </c>
      <c r="B24" t="s">
        <v>713</v>
      </c>
      <c r="C24">
        <v>1</v>
      </c>
      <c r="D24">
        <v>-80.89</v>
      </c>
      <c r="E24">
        <v>0.31649437546730003</v>
      </c>
      <c r="F24">
        <v>1.0488601922988801</v>
      </c>
      <c r="G24">
        <v>4.8013191223144496</v>
      </c>
      <c r="H24">
        <v>29.157596588134702</v>
      </c>
      <c r="K24">
        <f t="shared" ref="K24:K35" si="12">H24/(1-(0.8*(H24/(ABS(D24)))))</f>
        <v>40.972850288499103</v>
      </c>
      <c r="L24">
        <f t="shared" ref="L24:L35" si="13">K24/E24</f>
        <v>129.45838366954609</v>
      </c>
      <c r="P24">
        <v>29.834091186523398</v>
      </c>
      <c r="Q24">
        <v>30.0816230773925</v>
      </c>
      <c r="R24">
        <v>31.383083343505799</v>
      </c>
      <c r="S24">
        <v>29.998325347900298</v>
      </c>
      <c r="T24">
        <v>28.030075073242099</v>
      </c>
      <c r="U24">
        <v>27.329784393310501</v>
      </c>
      <c r="V24">
        <v>26.456062316894499</v>
      </c>
      <c r="W24">
        <v>24.939212799072202</v>
      </c>
      <c r="X24">
        <v>25.441543579101499</v>
      </c>
      <c r="Y24">
        <v>24.749202728271399</v>
      </c>
      <c r="AA24">
        <f>P24/P24</f>
        <v>1</v>
      </c>
      <c r="AB24">
        <f>Q24/P24</f>
        <v>1.0082969475866226</v>
      </c>
      <c r="AC24">
        <f>R24/P24</f>
        <v>1.0519202058912427</v>
      </c>
      <c r="AD24">
        <f>S24/P24</f>
        <v>1.0055049158477831</v>
      </c>
      <c r="AE24">
        <f>T24/P24</f>
        <v>0.93953172221662284</v>
      </c>
      <c r="AF24">
        <f>U24/P24</f>
        <v>0.91605888788245915</v>
      </c>
      <c r="AG24">
        <f>V24/P24</f>
        <v>0.88677285832139519</v>
      </c>
      <c r="AH24">
        <f>W24/P24</f>
        <v>0.83593003196080928</v>
      </c>
      <c r="AI24">
        <f>X24/P24</f>
        <v>0.85276750748130403</v>
      </c>
      <c r="AJ24">
        <f>Y24/P24</f>
        <v>0.82956114109656753</v>
      </c>
    </row>
    <row r="25" spans="1:36" x14ac:dyDescent="0.25">
      <c r="B25" t="s">
        <v>714</v>
      </c>
      <c r="C25">
        <v>2</v>
      </c>
      <c r="D25">
        <v>-70.650000000000006</v>
      </c>
      <c r="E25">
        <v>0.12678819894790599</v>
      </c>
      <c r="F25">
        <v>1.19004201889038</v>
      </c>
      <c r="G25">
        <v>3.1353123188018799</v>
      </c>
      <c r="H25">
        <v>9.53021240234375</v>
      </c>
      <c r="K25">
        <f t="shared" si="12"/>
        <v>10.683072406836544</v>
      </c>
      <c r="L25">
        <f t="shared" si="13"/>
        <v>84.25920153046691</v>
      </c>
      <c r="P25">
        <v>8.9543724060058505</v>
      </c>
      <c r="Q25">
        <v>10.279640197753899</v>
      </c>
      <c r="R25">
        <v>10.752361297607401</v>
      </c>
      <c r="S25">
        <v>9.8504676818847603</v>
      </c>
      <c r="T25">
        <v>10.9405670166015</v>
      </c>
      <c r="U25">
        <v>9.6074638366699201</v>
      </c>
      <c r="V25">
        <v>9.9383392333984304</v>
      </c>
      <c r="W25">
        <v>9.3984718322753906</v>
      </c>
      <c r="X25">
        <v>8.7647132873535103</v>
      </c>
      <c r="Y25">
        <v>8.4036483764648402</v>
      </c>
      <c r="AA25">
        <f t="shared" ref="AA25:AA35" si="14">P25/P25</f>
        <v>1</v>
      </c>
      <c r="AB25">
        <f t="shared" ref="AB25:AB35" si="15">Q25/P25</f>
        <v>1.148002309001485</v>
      </c>
      <c r="AC25">
        <f t="shared" ref="AC25:AC35" si="16">R25/P25</f>
        <v>1.2007945180385404</v>
      </c>
      <c r="AD25">
        <f t="shared" ref="AD25:AD35" si="17">S25/P25</f>
        <v>1.1000734875933778</v>
      </c>
      <c r="AE25">
        <f t="shared" ref="AE25:AE35" si="18">T25/P25</f>
        <v>1.2218128217744746</v>
      </c>
      <c r="AF25">
        <f t="shared" ref="AF25:AF35" si="19">U25/P25</f>
        <v>1.0729354778930158</v>
      </c>
      <c r="AG25">
        <f t="shared" ref="AG25:AG35" si="20">V25/P25</f>
        <v>1.1098867439031928</v>
      </c>
      <c r="AH25">
        <f t="shared" ref="AH25:AH35" si="21">W25/P25</f>
        <v>1.0495958182364267</v>
      </c>
      <c r="AI25">
        <f t="shared" ref="AI25:AI35" si="22">X25/P25</f>
        <v>0.97881938453608064</v>
      </c>
      <c r="AJ25">
        <f t="shared" ref="AJ25:AJ35" si="23">Y25/P25</f>
        <v>0.93849663554626894</v>
      </c>
    </row>
    <row r="26" spans="1:36" x14ac:dyDescent="0.25">
      <c r="B26" t="s">
        <v>715</v>
      </c>
      <c r="C26">
        <v>3</v>
      </c>
      <c r="D26">
        <v>60.01</v>
      </c>
      <c r="E26">
        <v>0.313247740268707</v>
      </c>
      <c r="F26">
        <v>1.10607886314392</v>
      </c>
      <c r="G26">
        <v>2.52206134796142</v>
      </c>
      <c r="H26">
        <v>16.240859985351499</v>
      </c>
      <c r="K26">
        <f t="shared" si="12"/>
        <v>20.728832977053777</v>
      </c>
      <c r="L26">
        <f t="shared" si="13"/>
        <v>66.173926615631387</v>
      </c>
      <c r="P26">
        <v>14.510845184326101</v>
      </c>
      <c r="Q26">
        <v>16.495628356933501</v>
      </c>
      <c r="R26">
        <v>17.060100555419901</v>
      </c>
      <c r="S26">
        <v>17.449203491210898</v>
      </c>
      <c r="T26">
        <v>17.396583557128899</v>
      </c>
      <c r="U26">
        <v>17.1237487792968</v>
      </c>
      <c r="V26">
        <v>15.1251678466796</v>
      </c>
      <c r="W26">
        <v>14.8864479064941</v>
      </c>
      <c r="X26">
        <v>14.2733497619628</v>
      </c>
      <c r="Y26">
        <v>13.988216400146401</v>
      </c>
      <c r="AA26">
        <f t="shared" si="14"/>
        <v>1</v>
      </c>
      <c r="AB26">
        <f t="shared" si="15"/>
        <v>1.1367792948925721</v>
      </c>
      <c r="AC26">
        <f t="shared" si="16"/>
        <v>1.1756793170012854</v>
      </c>
      <c r="AD26">
        <f t="shared" si="17"/>
        <v>1.2024939463938784</v>
      </c>
      <c r="AE26">
        <f t="shared" si="18"/>
        <v>1.1988676976527757</v>
      </c>
      <c r="AF26">
        <f t="shared" si="19"/>
        <v>1.1800655690126878</v>
      </c>
      <c r="AG26">
        <f t="shared" si="20"/>
        <v>1.0423354156529119</v>
      </c>
      <c r="AH26">
        <f t="shared" si="21"/>
        <v>1.0258842760291942</v>
      </c>
      <c r="AI26">
        <f t="shared" si="22"/>
        <v>0.98363324676498987</v>
      </c>
      <c r="AJ26">
        <f t="shared" si="23"/>
        <v>0.96398357383454014</v>
      </c>
    </row>
    <row r="27" spans="1:36" x14ac:dyDescent="0.25">
      <c r="B27" t="s">
        <v>716</v>
      </c>
      <c r="C27">
        <v>4</v>
      </c>
      <c r="D27">
        <v>-66.09</v>
      </c>
      <c r="E27">
        <v>0.15303845703601801</v>
      </c>
      <c r="F27">
        <v>1.06200563907623</v>
      </c>
      <c r="G27">
        <v>2.70926785469055</v>
      </c>
      <c r="H27">
        <v>14.3529396057128</v>
      </c>
      <c r="K27">
        <f t="shared" si="12"/>
        <v>17.370932603840579</v>
      </c>
      <c r="L27">
        <f t="shared" si="13"/>
        <v>113.50697687544174</v>
      </c>
      <c r="P27">
        <v>14.736289978027299</v>
      </c>
      <c r="Q27">
        <v>16.5950813293457</v>
      </c>
      <c r="R27">
        <v>16.408424377441399</v>
      </c>
      <c r="S27">
        <v>16.3905220031738</v>
      </c>
      <c r="T27">
        <v>16.225917816162099</v>
      </c>
      <c r="U27">
        <v>15.2135009765625</v>
      </c>
      <c r="V27">
        <v>14.735240936279199</v>
      </c>
      <c r="W27">
        <v>14.3848609924316</v>
      </c>
      <c r="X27">
        <v>13.2151794433593</v>
      </c>
      <c r="Y27">
        <v>12.981716156005801</v>
      </c>
      <c r="AA27">
        <f t="shared" si="14"/>
        <v>1</v>
      </c>
      <c r="AB27">
        <f t="shared" si="15"/>
        <v>1.1261369960885657</v>
      </c>
      <c r="AC27">
        <f t="shared" si="16"/>
        <v>1.1134705140783301</v>
      </c>
      <c r="AD27">
        <f t="shared" si="17"/>
        <v>1.112255664594892</v>
      </c>
      <c r="AE27">
        <f t="shared" si="18"/>
        <v>1.1010856762696666</v>
      </c>
      <c r="AF27">
        <f t="shared" si="19"/>
        <v>1.0323833881693936</v>
      </c>
      <c r="AG27">
        <f t="shared" si="20"/>
        <v>0.99992881235713571</v>
      </c>
      <c r="AH27">
        <f t="shared" si="21"/>
        <v>0.97615213964168035</v>
      </c>
      <c r="AI27">
        <f t="shared" si="22"/>
        <v>0.89677791785204641</v>
      </c>
      <c r="AJ27">
        <f t="shared" si="23"/>
        <v>0.88093517264944743</v>
      </c>
    </row>
    <row r="28" spans="1:36" x14ac:dyDescent="0.25">
      <c r="B28" t="s">
        <v>717</v>
      </c>
      <c r="C28">
        <v>5</v>
      </c>
      <c r="D28">
        <v>-56.06</v>
      </c>
      <c r="E28">
        <v>0.16767580807209001</v>
      </c>
      <c r="F28">
        <v>1.49361956119537</v>
      </c>
      <c r="G28">
        <v>2.64181280136108</v>
      </c>
      <c r="H28">
        <v>7.3077888488769496</v>
      </c>
      <c r="K28">
        <f t="shared" si="12"/>
        <v>8.1586117049568756</v>
      </c>
      <c r="L28">
        <f t="shared" si="13"/>
        <v>48.657059111647087</v>
      </c>
      <c r="P28">
        <v>6.6865882873535103</v>
      </c>
      <c r="Q28">
        <v>7.3867874145507804</v>
      </c>
      <c r="R28">
        <v>7.9105453491210902</v>
      </c>
      <c r="S28">
        <v>8.309814453125</v>
      </c>
      <c r="T28">
        <v>7.6462898254394496</v>
      </c>
      <c r="U28">
        <v>7.1573371887206996</v>
      </c>
      <c r="V28">
        <v>6.7869415283203098</v>
      </c>
      <c r="W28">
        <v>6.4742317199706996</v>
      </c>
      <c r="X28">
        <v>7.2820625305175701</v>
      </c>
      <c r="Y28">
        <v>6.7899894714355398</v>
      </c>
      <c r="AA28">
        <f t="shared" si="14"/>
        <v>1</v>
      </c>
      <c r="AB28">
        <f t="shared" si="15"/>
        <v>1.1047169493778422</v>
      </c>
      <c r="AC28">
        <f t="shared" si="16"/>
        <v>1.1830465716099907</v>
      </c>
      <c r="AD28">
        <f t="shared" si="17"/>
        <v>1.2427585034421116</v>
      </c>
      <c r="AE28">
        <f t="shared" si="18"/>
        <v>1.1435263391199131</v>
      </c>
      <c r="AF28">
        <f t="shared" si="19"/>
        <v>1.0704019570425065</v>
      </c>
      <c r="AG28">
        <f t="shared" si="20"/>
        <v>1.0150081381796154</v>
      </c>
      <c r="AH28">
        <f t="shared" si="21"/>
        <v>0.96824141725841784</v>
      </c>
      <c r="AI28">
        <f t="shared" si="22"/>
        <v>1.0890550184299956</v>
      </c>
      <c r="AJ28">
        <f t="shared" si="23"/>
        <v>1.0154639675180233</v>
      </c>
    </row>
    <row r="29" spans="1:36" x14ac:dyDescent="0.25">
      <c r="B29" t="s">
        <v>718</v>
      </c>
      <c r="C29">
        <v>6</v>
      </c>
      <c r="D29">
        <v>-67.849999999999994</v>
      </c>
      <c r="E29">
        <v>0.18824455142021199</v>
      </c>
      <c r="F29">
        <v>0.91199499368667603</v>
      </c>
      <c r="G29">
        <v>3.5882754325866699</v>
      </c>
      <c r="H29">
        <v>13.584465026855399</v>
      </c>
      <c r="K29">
        <f t="shared" si="12"/>
        <v>16.175266389485081</v>
      </c>
      <c r="L29">
        <f t="shared" si="13"/>
        <v>85.926876860183739</v>
      </c>
      <c r="P29">
        <v>13.122386932373001</v>
      </c>
      <c r="Q29">
        <v>13.550914764404199</v>
      </c>
      <c r="R29">
        <v>12.790901184081999</v>
      </c>
      <c r="S29">
        <v>11.879676818847599</v>
      </c>
      <c r="T29">
        <v>11.2539253234863</v>
      </c>
      <c r="U29">
        <v>11.8170318603515</v>
      </c>
      <c r="V29">
        <v>10.1397705078125</v>
      </c>
      <c r="W29">
        <v>9.1272430419921804</v>
      </c>
      <c r="X29">
        <v>9.8691940307617099</v>
      </c>
      <c r="Y29">
        <v>8.7177581787109304</v>
      </c>
      <c r="AA29">
        <f t="shared" si="14"/>
        <v>1</v>
      </c>
      <c r="AB29">
        <f t="shared" si="15"/>
        <v>1.0326562411426856</v>
      </c>
      <c r="AC29">
        <f t="shared" si="16"/>
        <v>0.97473891373579113</v>
      </c>
      <c r="AD29">
        <f t="shared" si="17"/>
        <v>0.90529847047417655</v>
      </c>
      <c r="AE29">
        <f t="shared" si="18"/>
        <v>0.85761267225879489</v>
      </c>
      <c r="AF29">
        <f t="shared" si="19"/>
        <v>0.900524570815605</v>
      </c>
      <c r="AG29">
        <f t="shared" si="20"/>
        <v>0.77270778251459959</v>
      </c>
      <c r="AH29">
        <f t="shared" si="21"/>
        <v>0.69554747082447488</v>
      </c>
      <c r="AI29">
        <f t="shared" si="22"/>
        <v>0.75208832673683423</v>
      </c>
      <c r="AJ29">
        <f t="shared" si="23"/>
        <v>0.66434241145596562</v>
      </c>
    </row>
    <row r="30" spans="1:36" x14ac:dyDescent="0.25">
      <c r="B30" t="s">
        <v>719</v>
      </c>
      <c r="C30">
        <v>7</v>
      </c>
      <c r="D30">
        <v>-55.1</v>
      </c>
      <c r="E30">
        <v>0.155785411596298</v>
      </c>
      <c r="F30">
        <v>1.33787298202514</v>
      </c>
      <c r="G30">
        <v>2.2119898796081499</v>
      </c>
      <c r="H30">
        <v>10.9050521850585</v>
      </c>
      <c r="K30">
        <f t="shared" si="12"/>
        <v>12.956462745897371</v>
      </c>
      <c r="L30">
        <f t="shared" si="13"/>
        <v>83.168652399062381</v>
      </c>
      <c r="P30">
        <v>10.9127502441406</v>
      </c>
      <c r="Q30">
        <v>12.7971649169921</v>
      </c>
      <c r="R30">
        <v>12.476333618164</v>
      </c>
      <c r="S30">
        <v>13.170108795166</v>
      </c>
      <c r="T30">
        <v>12.3276710510253</v>
      </c>
      <c r="U30">
        <v>12.3620452880859</v>
      </c>
      <c r="V30">
        <v>11.0568237304687</v>
      </c>
      <c r="W30">
        <v>10.830699920654199</v>
      </c>
      <c r="X30">
        <v>9.9838180541992099</v>
      </c>
      <c r="Y30">
        <v>10.2170715332031</v>
      </c>
      <c r="AA30">
        <f t="shared" si="14"/>
        <v>1</v>
      </c>
      <c r="AB30">
        <f t="shared" si="15"/>
        <v>1.1726800880340227</v>
      </c>
      <c r="AC30">
        <f t="shared" si="16"/>
        <v>1.1432804141066948</v>
      </c>
      <c r="AD30">
        <f t="shared" si="17"/>
        <v>1.2068551465509298</v>
      </c>
      <c r="AE30">
        <f t="shared" si="18"/>
        <v>1.1296575817488737</v>
      </c>
      <c r="AF30">
        <f t="shared" si="19"/>
        <v>1.1328074968749031</v>
      </c>
      <c r="AG30">
        <f t="shared" si="20"/>
        <v>1.0132023076772474</v>
      </c>
      <c r="AH30">
        <f t="shared" si="21"/>
        <v>0.99248124243194735</v>
      </c>
      <c r="AI30">
        <f t="shared" si="22"/>
        <v>0.9148764363557057</v>
      </c>
      <c r="AJ30">
        <f t="shared" si="23"/>
        <v>0.9362508354563478</v>
      </c>
    </row>
    <row r="31" spans="1:36" x14ac:dyDescent="0.25">
      <c r="B31" t="s">
        <v>720</v>
      </c>
      <c r="C31">
        <v>8</v>
      </c>
      <c r="D31">
        <v>-82.48</v>
      </c>
      <c r="E31">
        <v>0.38685420155525202</v>
      </c>
      <c r="F31">
        <v>1.53496766090393</v>
      </c>
      <c r="G31">
        <v>3.66326451301574</v>
      </c>
      <c r="H31">
        <v>19.076786041259702</v>
      </c>
      <c r="K31">
        <f t="shared" si="12"/>
        <v>23.408014859080289</v>
      </c>
      <c r="L31">
        <f t="shared" si="13"/>
        <v>60.508622537829837</v>
      </c>
      <c r="P31">
        <v>17.893226623535099</v>
      </c>
      <c r="Q31">
        <v>20.3848152160644</v>
      </c>
      <c r="R31">
        <v>20.110435485839801</v>
      </c>
      <c r="S31">
        <v>17.7033996582031</v>
      </c>
      <c r="T31">
        <v>18.918495178222599</v>
      </c>
      <c r="U31">
        <v>18.588554382324201</v>
      </c>
      <c r="V31">
        <v>17.735939025878899</v>
      </c>
      <c r="W31">
        <v>17.0764846801757</v>
      </c>
      <c r="X31">
        <v>15.7381057739257</v>
      </c>
      <c r="Y31">
        <v>14.8190460205078</v>
      </c>
      <c r="AA31">
        <f t="shared" si="14"/>
        <v>1</v>
      </c>
      <c r="AB31">
        <f t="shared" si="15"/>
        <v>1.1392475848515826</v>
      </c>
      <c r="AC31">
        <f t="shared" si="16"/>
        <v>1.1239133057974233</v>
      </c>
      <c r="AD31">
        <f t="shared" si="17"/>
        <v>0.98939112719433631</v>
      </c>
      <c r="AE31">
        <f t="shared" si="18"/>
        <v>1.0572992549783591</v>
      </c>
      <c r="AF31">
        <f t="shared" si="19"/>
        <v>1.0388598307850487</v>
      </c>
      <c r="AG31">
        <f t="shared" si="20"/>
        <v>0.99120965709732201</v>
      </c>
      <c r="AH31">
        <f t="shared" si="21"/>
        <v>0.95435468624283037</v>
      </c>
      <c r="AI31">
        <f t="shared" si="22"/>
        <v>0.87955661128358187</v>
      </c>
      <c r="AJ31">
        <f t="shared" si="23"/>
        <v>0.82819305496394902</v>
      </c>
    </row>
    <row r="32" spans="1:36" x14ac:dyDescent="0.25">
      <c r="B32" t="s">
        <v>721</v>
      </c>
      <c r="C32">
        <v>9</v>
      </c>
      <c r="D32">
        <v>-67.709999999999994</v>
      </c>
      <c r="E32">
        <v>0.16355183720588701</v>
      </c>
      <c r="F32">
        <v>2.0630307197570801</v>
      </c>
      <c r="G32">
        <v>2.6337139606475799</v>
      </c>
      <c r="H32">
        <v>9.4568328857421804</v>
      </c>
      <c r="K32">
        <f t="shared" si="12"/>
        <v>10.646389877740383</v>
      </c>
      <c r="L32">
        <f t="shared" si="13"/>
        <v>65.094896270337756</v>
      </c>
      <c r="P32">
        <v>7.6298904418945304</v>
      </c>
      <c r="Q32">
        <v>9.4725379943847603</v>
      </c>
      <c r="R32">
        <v>9.5776405334472603</v>
      </c>
      <c r="S32">
        <v>9.8184547424316406</v>
      </c>
      <c r="T32">
        <v>8.8262062072753906</v>
      </c>
      <c r="U32">
        <v>9.3332862854003906</v>
      </c>
      <c r="V32">
        <v>8.6653060913085902</v>
      </c>
      <c r="W32">
        <v>8.2680854797363192</v>
      </c>
      <c r="X32">
        <v>8.2834587097167898</v>
      </c>
      <c r="Y32">
        <v>7.0743522644042898</v>
      </c>
      <c r="AA32">
        <f t="shared" si="14"/>
        <v>1</v>
      </c>
      <c r="AB32">
        <f t="shared" si="15"/>
        <v>1.2415038022528531</v>
      </c>
      <c r="AC32">
        <f t="shared" si="16"/>
        <v>1.2552789068710528</v>
      </c>
      <c r="AD32">
        <f t="shared" si="17"/>
        <v>1.2868408553444028</v>
      </c>
      <c r="AE32">
        <f t="shared" si="18"/>
        <v>1.1567933084349518</v>
      </c>
      <c r="AF32">
        <f t="shared" si="19"/>
        <v>1.2232529885557439</v>
      </c>
      <c r="AG32">
        <f t="shared" si="20"/>
        <v>1.1357051791633541</v>
      </c>
      <c r="AH32">
        <f t="shared" si="21"/>
        <v>1.0836440631358952</v>
      </c>
      <c r="AI32">
        <f t="shared" si="22"/>
        <v>1.0856589321694081</v>
      </c>
      <c r="AJ32">
        <f t="shared" si="23"/>
        <v>0.92718923269987363</v>
      </c>
    </row>
    <row r="33" spans="1:36" x14ac:dyDescent="0.25">
      <c r="B33" t="s">
        <v>722</v>
      </c>
      <c r="C33">
        <v>10</v>
      </c>
      <c r="D33">
        <v>-79</v>
      </c>
      <c r="E33">
        <v>0.25256240367889399</v>
      </c>
      <c r="F33">
        <v>1.4442167282104399</v>
      </c>
      <c r="G33">
        <v>3.2777543067932098</v>
      </c>
      <c r="H33">
        <v>13.776237487792899</v>
      </c>
      <c r="K33">
        <f t="shared" si="12"/>
        <v>16.009688304953155</v>
      </c>
      <c r="L33">
        <f t="shared" si="13"/>
        <v>63.389039982798693</v>
      </c>
      <c r="P33">
        <v>13.4512176513671</v>
      </c>
      <c r="Q33">
        <v>14.402992248535099</v>
      </c>
      <c r="R33">
        <v>14.3870086669921</v>
      </c>
      <c r="S33">
        <v>14.2640533447265</v>
      </c>
      <c r="T33">
        <v>14.331031799316399</v>
      </c>
      <c r="U33">
        <v>14.133903503417899</v>
      </c>
      <c r="V33">
        <v>13.413536071777299</v>
      </c>
      <c r="W33">
        <v>13.0982818603515</v>
      </c>
      <c r="X33">
        <v>12.7078399658203</v>
      </c>
      <c r="Y33">
        <v>12.0335845947265</v>
      </c>
      <c r="AA33">
        <f t="shared" si="14"/>
        <v>1</v>
      </c>
      <c r="AB33">
        <f t="shared" si="15"/>
        <v>1.0707575047729057</v>
      </c>
      <c r="AC33">
        <f t="shared" si="16"/>
        <v>1.0695692419734129</v>
      </c>
      <c r="AD33">
        <f t="shared" si="17"/>
        <v>1.0604284098604848</v>
      </c>
      <c r="AE33">
        <f t="shared" si="18"/>
        <v>1.0654077698207403</v>
      </c>
      <c r="AF33">
        <f t="shared" si="19"/>
        <v>1.0507527176903138</v>
      </c>
      <c r="AG33">
        <f t="shared" si="20"/>
        <v>0.99719864918058398</v>
      </c>
      <c r="AH33">
        <f t="shared" si="21"/>
        <v>0.97376179613153979</v>
      </c>
      <c r="AI33">
        <f t="shared" si="22"/>
        <v>0.94473528681091201</v>
      </c>
      <c r="AJ33">
        <f t="shared" si="23"/>
        <v>0.89460931393846566</v>
      </c>
    </row>
    <row r="34" spans="1:36" x14ac:dyDescent="0.25">
      <c r="B34" t="s">
        <v>723</v>
      </c>
      <c r="C34">
        <v>11</v>
      </c>
      <c r="D34">
        <v>-79.98</v>
      </c>
      <c r="E34">
        <v>0.24268795549869501</v>
      </c>
      <c r="F34">
        <v>1.77819228172302</v>
      </c>
      <c r="G34">
        <v>3.29875493049621</v>
      </c>
      <c r="H34">
        <v>17.254970550537099</v>
      </c>
      <c r="K34">
        <f t="shared" si="12"/>
        <v>20.854268213768719</v>
      </c>
      <c r="L34">
        <f t="shared" si="13"/>
        <v>85.93037990251996</v>
      </c>
      <c r="P34">
        <v>17.698520660400298</v>
      </c>
      <c r="Q34">
        <v>18.146347045898398</v>
      </c>
      <c r="R34">
        <v>17.5916023254394</v>
      </c>
      <c r="S34">
        <v>17.645488739013601</v>
      </c>
      <c r="T34">
        <v>17.653579711913999</v>
      </c>
      <c r="U34">
        <v>15.3085403442382</v>
      </c>
      <c r="V34">
        <v>16.2009582519531</v>
      </c>
      <c r="W34">
        <v>13.0476303100585</v>
      </c>
      <c r="X34">
        <v>13.964653015136699</v>
      </c>
      <c r="Y34">
        <v>12.7584838867187</v>
      </c>
      <c r="AA34">
        <f t="shared" si="14"/>
        <v>1</v>
      </c>
      <c r="AB34">
        <f t="shared" si="15"/>
        <v>1.0253030405247425</v>
      </c>
      <c r="AC34">
        <f t="shared" si="16"/>
        <v>0.9939589111987126</v>
      </c>
      <c r="AD34">
        <f t="shared" si="17"/>
        <v>0.9970035958143465</v>
      </c>
      <c r="AE34">
        <f t="shared" si="18"/>
        <v>0.9974607511357233</v>
      </c>
      <c r="AF34">
        <f t="shared" si="19"/>
        <v>0.86496157718370326</v>
      </c>
      <c r="AG34">
        <f t="shared" si="20"/>
        <v>0.9153848823196884</v>
      </c>
      <c r="AH34">
        <f t="shared" si="21"/>
        <v>0.73721587020840829</v>
      </c>
      <c r="AI34">
        <f t="shared" si="22"/>
        <v>0.78902939308266751</v>
      </c>
      <c r="AJ34">
        <f t="shared" si="23"/>
        <v>0.72087854863854672</v>
      </c>
    </row>
    <row r="35" spans="1:36" x14ac:dyDescent="0.25">
      <c r="B35" t="s">
        <v>724</v>
      </c>
      <c r="C35">
        <v>12</v>
      </c>
      <c r="D35">
        <v>-61.15</v>
      </c>
      <c r="E35">
        <v>0.28514355421066301</v>
      </c>
      <c r="F35">
        <v>0.86166965961456299</v>
      </c>
      <c r="G35">
        <v>2.7959215641021702</v>
      </c>
      <c r="H35">
        <v>15.5823860168457</v>
      </c>
      <c r="K35">
        <f t="shared" si="12"/>
        <v>19.572367106112946</v>
      </c>
      <c r="L35">
        <f t="shared" si="13"/>
        <v>68.640398203260645</v>
      </c>
      <c r="P35">
        <v>14.218379974365201</v>
      </c>
      <c r="Q35">
        <v>16.2408332824707</v>
      </c>
      <c r="R35">
        <v>17.311351776123001</v>
      </c>
      <c r="S35">
        <v>15.95751953125</v>
      </c>
      <c r="T35">
        <v>15.7648963928222</v>
      </c>
      <c r="U35">
        <v>15.108482360839799</v>
      </c>
      <c r="V35">
        <v>14.520301818847599</v>
      </c>
      <c r="W35">
        <v>14.513038635253899</v>
      </c>
      <c r="X35">
        <v>14.4956092834472</v>
      </c>
      <c r="Y35">
        <v>14.4842872619628</v>
      </c>
      <c r="AA35">
        <f t="shared" si="14"/>
        <v>1</v>
      </c>
      <c r="AB35">
        <f t="shared" si="15"/>
        <v>1.1422421760954375</v>
      </c>
      <c r="AC35">
        <f t="shared" si="16"/>
        <v>1.2175333481967865</v>
      </c>
      <c r="AD35">
        <f t="shared" si="17"/>
        <v>1.122316294825455</v>
      </c>
      <c r="AE35">
        <f t="shared" si="18"/>
        <v>1.1087688204454562</v>
      </c>
      <c r="AF35">
        <f t="shared" si="19"/>
        <v>1.0626022365472996</v>
      </c>
      <c r="AG35">
        <f t="shared" si="20"/>
        <v>1.0212346163927777</v>
      </c>
      <c r="AH35">
        <f t="shared" si="21"/>
        <v>1.0207237857913454</v>
      </c>
      <c r="AI35">
        <f t="shared" si="22"/>
        <v>1.0194979533239248</v>
      </c>
      <c r="AJ35">
        <f t="shared" si="23"/>
        <v>1.018701658562861</v>
      </c>
    </row>
    <row r="37" spans="1:36" x14ac:dyDescent="0.25">
      <c r="A37" t="s">
        <v>725</v>
      </c>
      <c r="B37" t="s">
        <v>726</v>
      </c>
      <c r="C37">
        <v>1</v>
      </c>
      <c r="D37">
        <v>-84.48</v>
      </c>
      <c r="E37">
        <v>0.270180314779282</v>
      </c>
      <c r="F37">
        <v>0.77323573827743497</v>
      </c>
      <c r="G37">
        <v>3.6462996006011901</v>
      </c>
      <c r="H37">
        <v>16.663711547851499</v>
      </c>
      <c r="K37">
        <v>19.78593856432299</v>
      </c>
      <c r="L37">
        <v>73.232346999398118</v>
      </c>
      <c r="P37">
        <v>16.2279968261718</v>
      </c>
      <c r="Q37">
        <v>17.129386901855401</v>
      </c>
      <c r="R37">
        <v>18.067562103271399</v>
      </c>
      <c r="S37">
        <v>17.4407844543457</v>
      </c>
      <c r="T37">
        <v>17.437587738037099</v>
      </c>
      <c r="U37">
        <v>15.9325103759765</v>
      </c>
      <c r="V37">
        <v>15.56640625</v>
      </c>
      <c r="W37">
        <v>15.407279968261699</v>
      </c>
      <c r="X37">
        <v>13.5087280273437</v>
      </c>
      <c r="Y37">
        <v>13.105400085449199</v>
      </c>
      <c r="AA37">
        <v>1</v>
      </c>
      <c r="AB37">
        <v>1.0555453692368166</v>
      </c>
      <c r="AC37">
        <v>1.1133575078183913</v>
      </c>
      <c r="AD37">
        <v>1.0747342781222369</v>
      </c>
      <c r="AE37">
        <v>1.0745372903890715</v>
      </c>
      <c r="AF37">
        <v>0.98179156347142293</v>
      </c>
      <c r="AG37">
        <v>0.95923153157727903</v>
      </c>
      <c r="AH37">
        <v>0.9494258677333185</v>
      </c>
      <c r="AI37">
        <v>0.83243348960713481</v>
      </c>
      <c r="AJ37">
        <v>0.80757965544542043</v>
      </c>
    </row>
    <row r="38" spans="1:36" x14ac:dyDescent="0.25">
      <c r="B38" t="s">
        <v>727</v>
      </c>
      <c r="C38">
        <v>2</v>
      </c>
      <c r="D38">
        <v>-69.05</v>
      </c>
      <c r="E38">
        <v>0.45763158798217801</v>
      </c>
      <c r="F38">
        <v>0.80601435899734497</v>
      </c>
      <c r="G38">
        <v>3.7918097972869802</v>
      </c>
      <c r="H38">
        <v>24.682937622070298</v>
      </c>
      <c r="K38">
        <v>34.568573445977954</v>
      </c>
      <c r="L38">
        <v>75.537996838024625</v>
      </c>
      <c r="P38">
        <v>22.585094451904201</v>
      </c>
      <c r="Q38">
        <v>23.518081665038999</v>
      </c>
      <c r="R38">
        <v>24.251598358154201</v>
      </c>
      <c r="S38">
        <v>24.740367889404201</v>
      </c>
      <c r="T38">
        <v>23.5442199707031</v>
      </c>
      <c r="U38">
        <v>22.307338714599599</v>
      </c>
      <c r="V38">
        <v>22.077980041503899</v>
      </c>
      <c r="W38">
        <v>20.880886077880799</v>
      </c>
      <c r="X38">
        <v>20.753280639648398</v>
      </c>
      <c r="Y38">
        <v>19.665317535400298</v>
      </c>
      <c r="AA38">
        <v>1</v>
      </c>
      <c r="AB38">
        <v>1.0413098654566899</v>
      </c>
      <c r="AC38">
        <v>1.0737877767037407</v>
      </c>
      <c r="AD38">
        <v>1.0954290203253183</v>
      </c>
      <c r="AE38">
        <v>1.0424671909538121</v>
      </c>
      <c r="AF38">
        <v>0.98770181201163032</v>
      </c>
      <c r="AG38">
        <v>0.97754650034870472</v>
      </c>
      <c r="AH38">
        <v>0.9245427829556977</v>
      </c>
      <c r="AI38">
        <v>0.91889279824989356</v>
      </c>
      <c r="AJ38">
        <v>0.87072106682034578</v>
      </c>
    </row>
    <row r="39" spans="1:36" x14ac:dyDescent="0.25">
      <c r="B39" t="s">
        <v>728</v>
      </c>
      <c r="C39">
        <v>3</v>
      </c>
      <c r="D39">
        <v>-71.16</v>
      </c>
      <c r="E39">
        <v>0.25016406178474399</v>
      </c>
      <c r="F39">
        <v>0.79281038045883201</v>
      </c>
      <c r="G39">
        <v>3.76067638397216</v>
      </c>
      <c r="H39">
        <v>10.2665901184082</v>
      </c>
      <c r="K39">
        <v>11.606172030503956</v>
      </c>
      <c r="L39">
        <v>46.39424203341644</v>
      </c>
      <c r="P39">
        <v>8.0127487182617099</v>
      </c>
      <c r="Q39">
        <v>11.776405334472599</v>
      </c>
      <c r="R39">
        <v>10.4109191894531</v>
      </c>
      <c r="S39">
        <v>11.3783874511718</v>
      </c>
      <c r="T39">
        <v>10.4595794677734</v>
      </c>
      <c r="U39">
        <v>9.7361488342285103</v>
      </c>
      <c r="V39">
        <v>9.2562751770019496</v>
      </c>
      <c r="W39">
        <v>10.5732421875</v>
      </c>
      <c r="X39">
        <v>10.123409271240201</v>
      </c>
      <c r="Y39">
        <v>11.173885345458901</v>
      </c>
      <c r="AA39">
        <v>1</v>
      </c>
      <c r="AB39">
        <v>1.4697085542734178</v>
      </c>
      <c r="AC39">
        <v>1.2992943564704287</v>
      </c>
      <c r="AD39">
        <v>1.4200354773686494</v>
      </c>
      <c r="AE39">
        <v>1.3053672136173649</v>
      </c>
      <c r="AF39">
        <v>1.2150822616013193</v>
      </c>
      <c r="AG39">
        <v>1.1551934925784133</v>
      </c>
      <c r="AH39">
        <v>1.3195524481383918</v>
      </c>
      <c r="AI39">
        <v>1.263412797180089</v>
      </c>
      <c r="AJ39">
        <v>1.3945133858987369</v>
      </c>
    </row>
    <row r="40" spans="1:36" x14ac:dyDescent="0.25">
      <c r="B40" t="s">
        <v>729</v>
      </c>
      <c r="C40">
        <v>4</v>
      </c>
      <c r="D40">
        <v>-74.81</v>
      </c>
      <c r="E40">
        <v>0.16002495586872101</v>
      </c>
      <c r="F40">
        <v>1.0083839893341</v>
      </c>
      <c r="G40">
        <v>3.0080289840698198</v>
      </c>
      <c r="H40">
        <v>11.6139373779296</v>
      </c>
      <c r="K40">
        <v>13.260895970364302</v>
      </c>
      <c r="L40">
        <v>82.867674597223996</v>
      </c>
      <c r="P40">
        <v>10.1886024475097</v>
      </c>
      <c r="Q40">
        <v>11.6380500793457</v>
      </c>
      <c r="R40">
        <v>11.199169158935501</v>
      </c>
      <c r="S40">
        <v>10.610454559326101</v>
      </c>
      <c r="T40">
        <v>9.6883201599121005</v>
      </c>
      <c r="U40">
        <v>9.8904151916503906</v>
      </c>
      <c r="V40">
        <v>9.0063705444335902</v>
      </c>
      <c r="W40">
        <v>8.3048362731933505</v>
      </c>
      <c r="X40">
        <v>7.9601249694824201</v>
      </c>
      <c r="Y40">
        <v>8.1521873474121005</v>
      </c>
      <c r="AA40">
        <v>1</v>
      </c>
      <c r="AB40">
        <v>1.1422616732082107</v>
      </c>
      <c r="AC40">
        <v>1.0991859989269483</v>
      </c>
      <c r="AD40">
        <v>1.0414043156546471</v>
      </c>
      <c r="AE40">
        <v>0.95089784981061087</v>
      </c>
      <c r="AF40">
        <v>0.97073325243618747</v>
      </c>
      <c r="AG40">
        <v>0.88396525341264331</v>
      </c>
      <c r="AH40">
        <v>0.81511044483075501</v>
      </c>
      <c r="AI40">
        <v>0.78127741370731718</v>
      </c>
      <c r="AJ40">
        <v>0.80012812251837928</v>
      </c>
    </row>
    <row r="41" spans="1:36" x14ac:dyDescent="0.25">
      <c r="B41" t="s">
        <v>730</v>
      </c>
      <c r="C41">
        <v>5</v>
      </c>
      <c r="D41">
        <v>-65.61</v>
      </c>
      <c r="E41">
        <v>0.239445060491562</v>
      </c>
      <c r="F41">
        <v>0.90198326110839799</v>
      </c>
      <c r="G41">
        <v>3.14858651161193</v>
      </c>
      <c r="H41">
        <v>16.905635833740199</v>
      </c>
      <c r="K41">
        <v>21.295349984512498</v>
      </c>
      <c r="L41">
        <v>88.936267638158029</v>
      </c>
      <c r="P41">
        <v>18.7237548828125</v>
      </c>
      <c r="Q41">
        <v>21.330131530761701</v>
      </c>
      <c r="R41">
        <v>20.2443313598632</v>
      </c>
      <c r="S41">
        <v>21.3501663208007</v>
      </c>
      <c r="T41">
        <v>19.462028503417901</v>
      </c>
      <c r="U41">
        <v>18.648410797119102</v>
      </c>
      <c r="V41">
        <v>17.70357131958</v>
      </c>
      <c r="W41">
        <v>16.811557769775298</v>
      </c>
      <c r="X41">
        <v>15.729412078857401</v>
      </c>
      <c r="Y41">
        <v>17.058708190917901</v>
      </c>
      <c r="AA41">
        <v>1</v>
      </c>
      <c r="AB41">
        <v>1.1392016005476406</v>
      </c>
      <c r="AC41">
        <v>1.0812110864817246</v>
      </c>
      <c r="AD41">
        <v>1.1402716204322414</v>
      </c>
      <c r="AE41">
        <v>1.0394297845291225</v>
      </c>
      <c r="AF41">
        <v>0.99597601623365828</v>
      </c>
      <c r="AG41">
        <v>0.94551394367115016</v>
      </c>
      <c r="AH41">
        <v>0.89787320305114082</v>
      </c>
      <c r="AI41">
        <v>0.84007786778368043</v>
      </c>
      <c r="AJ41">
        <v>0.91107303517292726</v>
      </c>
    </row>
    <row r="42" spans="1:36" x14ac:dyDescent="0.25">
      <c r="B42" t="s">
        <v>731</v>
      </c>
      <c r="C42">
        <v>6</v>
      </c>
      <c r="D42">
        <v>-68.22</v>
      </c>
      <c r="E42">
        <v>0.237546861171722</v>
      </c>
      <c r="F42">
        <v>0.87983411550521895</v>
      </c>
      <c r="G42">
        <v>3.76311063766479</v>
      </c>
      <c r="H42">
        <v>10.206947326660099</v>
      </c>
      <c r="K42">
        <v>11.594778368215989</v>
      </c>
      <c r="L42">
        <v>48.810488638004585</v>
      </c>
      <c r="P42">
        <v>10.2836761474609</v>
      </c>
      <c r="Q42">
        <v>11.471950531005801</v>
      </c>
      <c r="R42">
        <v>10.528823852539</v>
      </c>
      <c r="S42">
        <v>11.224830627441399</v>
      </c>
      <c r="T42">
        <v>12.275997161865201</v>
      </c>
      <c r="U42">
        <v>10.3835487365722</v>
      </c>
      <c r="V42">
        <v>9.7680511474609304</v>
      </c>
      <c r="W42">
        <v>10.8284454345703</v>
      </c>
      <c r="X42">
        <v>9.8397445678710902</v>
      </c>
      <c r="Y42">
        <v>10.292442321777299</v>
      </c>
      <c r="AA42">
        <v>1</v>
      </c>
      <c r="AB42">
        <v>1.1155495725950386</v>
      </c>
      <c r="AC42">
        <v>1.0238385283203058</v>
      </c>
      <c r="AD42">
        <v>1.0915192647536722</v>
      </c>
      <c r="AE42">
        <v>1.1937362656929076</v>
      </c>
      <c r="AF42">
        <v>1.0097117594602547</v>
      </c>
      <c r="AG42">
        <v>0.94985985628035552</v>
      </c>
      <c r="AH42">
        <v>1.0529741776479324</v>
      </c>
      <c r="AI42">
        <v>0.95683143136519144</v>
      </c>
      <c r="AJ42">
        <v>1.0008524358595796</v>
      </c>
    </row>
    <row r="43" spans="1:36" x14ac:dyDescent="0.25">
      <c r="B43" t="s">
        <v>732</v>
      </c>
      <c r="C43">
        <v>7</v>
      </c>
      <c r="D43">
        <v>-71.87</v>
      </c>
      <c r="E43">
        <v>0.25824582576751698</v>
      </c>
      <c r="F43">
        <v>0.86798888444900502</v>
      </c>
      <c r="G43">
        <v>2.8034975528717001</v>
      </c>
      <c r="H43">
        <v>20.851322174072202</v>
      </c>
      <c r="K43">
        <v>27.153709842280541</v>
      </c>
      <c r="L43">
        <v>105.14675217529121</v>
      </c>
      <c r="P43">
        <v>20.234260559081999</v>
      </c>
      <c r="Q43">
        <v>22.1015930175781</v>
      </c>
      <c r="R43">
        <v>21.473888397216701</v>
      </c>
      <c r="S43">
        <v>20.578342437744102</v>
      </c>
      <c r="T43">
        <v>20.2771797180175</v>
      </c>
      <c r="U43">
        <v>19.47114944458</v>
      </c>
      <c r="V43">
        <v>18.274570465087798</v>
      </c>
      <c r="W43">
        <v>18.069004058837798</v>
      </c>
      <c r="X43">
        <v>18.565135955810501</v>
      </c>
      <c r="Y43">
        <v>17.650444030761701</v>
      </c>
      <c r="AA43">
        <v>1</v>
      </c>
      <c r="AB43">
        <v>1.0922856781963284</v>
      </c>
      <c r="AC43">
        <v>1.0612638072201903</v>
      </c>
      <c r="AD43">
        <v>1.0170049148896456</v>
      </c>
      <c r="AE43">
        <v>1.0021211132875443</v>
      </c>
      <c r="AF43">
        <v>0.9622861872182682</v>
      </c>
      <c r="AG43">
        <v>0.90314990319156441</v>
      </c>
      <c r="AH43">
        <v>0.89299057932352555</v>
      </c>
      <c r="AI43">
        <v>0.91750997777270771</v>
      </c>
      <c r="AJ43">
        <v>0.87230487020883152</v>
      </c>
    </row>
    <row r="44" spans="1:36" x14ac:dyDescent="0.25">
      <c r="B44" t="s">
        <v>733</v>
      </c>
      <c r="C44">
        <v>8</v>
      </c>
      <c r="D44">
        <v>-64.69</v>
      </c>
      <c r="E44">
        <v>0.31261312961578402</v>
      </c>
      <c r="F44">
        <v>0.81439173221588101</v>
      </c>
      <c r="G44">
        <v>3.3922019004821702</v>
      </c>
      <c r="H44">
        <v>13.187526702880801</v>
      </c>
      <c r="K44">
        <v>15.757322479166644</v>
      </c>
      <c r="L44">
        <v>50.405184512029685</v>
      </c>
      <c r="P44">
        <v>14.6353416442871</v>
      </c>
      <c r="Q44">
        <v>14.3800354003906</v>
      </c>
      <c r="R44">
        <v>13.4472312927246</v>
      </c>
      <c r="S44">
        <v>13.4994354248046</v>
      </c>
      <c r="T44">
        <v>13.741981506347599</v>
      </c>
      <c r="U44">
        <v>12.4793586730957</v>
      </c>
      <c r="V44">
        <v>12.332084655761699</v>
      </c>
      <c r="W44">
        <v>12.8248786926269</v>
      </c>
      <c r="X44">
        <v>12.0442237854003</v>
      </c>
      <c r="Y44">
        <v>13.996238708496</v>
      </c>
      <c r="AA44">
        <v>1</v>
      </c>
      <c r="AB44">
        <v>0.9825554981836615</v>
      </c>
      <c r="AC44">
        <v>0.91881909008757046</v>
      </c>
      <c r="AD44">
        <v>0.9223860810980179</v>
      </c>
      <c r="AE44">
        <v>0.93895870970062223</v>
      </c>
      <c r="AF44">
        <v>0.8526865293894258</v>
      </c>
      <c r="AG44">
        <v>0.8426236267996875</v>
      </c>
      <c r="AH44">
        <v>0.87629513572941331</v>
      </c>
      <c r="AI44">
        <v>0.82295474052713746</v>
      </c>
      <c r="AJ44">
        <v>0.95633153285215078</v>
      </c>
    </row>
    <row r="45" spans="1:36" x14ac:dyDescent="0.25">
      <c r="B45" t="s">
        <v>734</v>
      </c>
      <c r="C45">
        <v>9</v>
      </c>
      <c r="D45">
        <v>-71.790000000000006</v>
      </c>
      <c r="E45">
        <v>0.33048841357231101</v>
      </c>
      <c r="F45">
        <v>0.75629442930221602</v>
      </c>
      <c r="G45">
        <v>3.5833427906036301</v>
      </c>
      <c r="H45">
        <v>15.7954597473144</v>
      </c>
      <c r="K45">
        <v>19.169677550561556</v>
      </c>
      <c r="L45">
        <v>58.004083542151839</v>
      </c>
      <c r="P45">
        <v>16.058750152587798</v>
      </c>
      <c r="Q45">
        <v>17.3060798645019</v>
      </c>
      <c r="R45">
        <v>15.7283935546875</v>
      </c>
      <c r="S45">
        <v>16.978164672851499</v>
      </c>
      <c r="T45">
        <v>14.9922103881835</v>
      </c>
      <c r="U45">
        <v>16.240596771240199</v>
      </c>
      <c r="V45">
        <v>16.323406219482401</v>
      </c>
      <c r="W45">
        <v>14.070327758789</v>
      </c>
      <c r="X45">
        <v>13.184608459472599</v>
      </c>
      <c r="Y45">
        <v>15.0641021728515</v>
      </c>
      <c r="AA45">
        <v>1</v>
      </c>
      <c r="AB45">
        <v>1.0776729010702679</v>
      </c>
      <c r="AC45">
        <v>0.97942824972296727</v>
      </c>
      <c r="AD45">
        <v>1.0572531804485132</v>
      </c>
      <c r="AE45">
        <v>0.93358513244989805</v>
      </c>
      <c r="AF45">
        <v>1.011323833855345</v>
      </c>
      <c r="AG45">
        <v>1.0164804897255315</v>
      </c>
      <c r="AH45">
        <v>0.8761782595217491</v>
      </c>
      <c r="AI45">
        <v>0.82102332586250226</v>
      </c>
      <c r="AJ45">
        <v>0.9380619307053597</v>
      </c>
    </row>
    <row r="46" spans="1:36" x14ac:dyDescent="0.25">
      <c r="B46" t="s">
        <v>735</v>
      </c>
      <c r="C46">
        <v>10</v>
      </c>
      <c r="D46">
        <v>-72.77</v>
      </c>
      <c r="E46">
        <v>0.17411348223686199</v>
      </c>
      <c r="F46">
        <v>0.87306302785873402</v>
      </c>
      <c r="G46">
        <v>2.5907559394836399</v>
      </c>
      <c r="H46">
        <v>14.2816925048828</v>
      </c>
      <c r="K46">
        <v>16.941637639354859</v>
      </c>
      <c r="L46">
        <v>97.302273331755259</v>
      </c>
      <c r="P46">
        <v>14.816219329833901</v>
      </c>
      <c r="Q46">
        <v>15.763328552246</v>
      </c>
      <c r="R46">
        <v>15.791744232177701</v>
      </c>
      <c r="S46">
        <v>14.7747039794921</v>
      </c>
      <c r="T46">
        <v>14.263851165771401</v>
      </c>
      <c r="U46">
        <v>14.1116333007812</v>
      </c>
      <c r="V46">
        <v>12.511924743652299</v>
      </c>
      <c r="W46">
        <v>10.671424865722599</v>
      </c>
      <c r="X46">
        <v>11.0864105224609</v>
      </c>
      <c r="Y46">
        <v>11.1646614074707</v>
      </c>
      <c r="AA46">
        <v>1</v>
      </c>
      <c r="AB46">
        <v>1.0639238122308976</v>
      </c>
      <c r="AC46">
        <v>1.0658416888024522</v>
      </c>
      <c r="AD46">
        <v>0.99719797949682043</v>
      </c>
      <c r="AE46">
        <v>0.9627186833721979</v>
      </c>
      <c r="AF46">
        <v>0.95244495148408415</v>
      </c>
      <c r="AG46">
        <v>0.84447485995690685</v>
      </c>
      <c r="AH46">
        <v>0.72025289503069423</v>
      </c>
      <c r="AI46">
        <v>0.74826177148561324</v>
      </c>
      <c r="AJ46">
        <v>0.75354320551866871</v>
      </c>
    </row>
    <row r="47" spans="1:36" x14ac:dyDescent="0.25">
      <c r="B47" t="s">
        <v>736</v>
      </c>
      <c r="C47">
        <v>11</v>
      </c>
      <c r="D47">
        <v>-65.47</v>
      </c>
      <c r="E47">
        <v>0.42741623520851102</v>
      </c>
      <c r="F47">
        <v>0.77356040477752697</v>
      </c>
      <c r="G47">
        <v>3.6569116115570002</v>
      </c>
      <c r="H47">
        <v>18.930156707763601</v>
      </c>
      <c r="K47">
        <v>24.626643226289211</v>
      </c>
      <c r="L47">
        <v>57.617472612558416</v>
      </c>
      <c r="P47">
        <v>17.227443695068299</v>
      </c>
      <c r="Q47">
        <v>19.031448364257798</v>
      </c>
      <c r="R47">
        <v>18.7198371887207</v>
      </c>
      <c r="S47">
        <v>18.5768737792968</v>
      </c>
      <c r="T47">
        <v>18.333511352538999</v>
      </c>
      <c r="U47">
        <v>18.670822143554599</v>
      </c>
      <c r="V47">
        <v>16.041801452636701</v>
      </c>
      <c r="W47">
        <v>17.512168884277301</v>
      </c>
      <c r="X47">
        <v>14.785133361816399</v>
      </c>
      <c r="Y47">
        <v>15.0982360839843</v>
      </c>
      <c r="AA47">
        <v>1</v>
      </c>
      <c r="AB47">
        <v>1.1047169098980094</v>
      </c>
      <c r="AC47">
        <v>1.0866288417520487</v>
      </c>
      <c r="AD47">
        <v>1.078330256543796</v>
      </c>
      <c r="AE47">
        <v>1.0642038178762026</v>
      </c>
      <c r="AF47">
        <v>1.0837836694772942</v>
      </c>
      <c r="AG47">
        <v>0.93117712276888698</v>
      </c>
      <c r="AH47">
        <v>1.016527419520199</v>
      </c>
      <c r="AI47">
        <v>0.8582314139879581</v>
      </c>
      <c r="AJ47">
        <v>0.87640606181789316</v>
      </c>
    </row>
    <row r="48" spans="1:36" x14ac:dyDescent="0.25">
      <c r="B48" t="s">
        <v>737</v>
      </c>
      <c r="C48">
        <v>12</v>
      </c>
      <c r="D48">
        <v>-72.11</v>
      </c>
      <c r="E48">
        <v>0.20425716042518599</v>
      </c>
      <c r="F48">
        <v>0.76081752777099598</v>
      </c>
      <c r="G48">
        <v>2.7086231708526598</v>
      </c>
      <c r="H48">
        <v>17.888881683349599</v>
      </c>
      <c r="K48">
        <v>22.318199438304241</v>
      </c>
      <c r="L48">
        <v>109.26519976996747</v>
      </c>
      <c r="P48">
        <v>17.222370147705</v>
      </c>
      <c r="Q48">
        <v>20.129249572753899</v>
      </c>
      <c r="R48">
        <v>19.856925964355401</v>
      </c>
      <c r="S48">
        <v>17.661647796630799</v>
      </c>
      <c r="T48">
        <v>17.500255584716701</v>
      </c>
      <c r="U48">
        <v>16.285556793212798</v>
      </c>
      <c r="V48">
        <v>15.905559539794901</v>
      </c>
      <c r="W48">
        <v>14.415340423583901</v>
      </c>
      <c r="X48">
        <v>13.5367012023925</v>
      </c>
      <c r="Y48">
        <v>12.898643493652299</v>
      </c>
      <c r="AA48">
        <v>1</v>
      </c>
      <c r="AB48">
        <v>1.1687850975283016</v>
      </c>
      <c r="AC48">
        <v>1.1529728947906437</v>
      </c>
      <c r="AD48">
        <v>1.0255062250525568</v>
      </c>
      <c r="AE48">
        <v>1.0161351448510547</v>
      </c>
      <c r="AF48">
        <v>0.94560485308016451</v>
      </c>
      <c r="AG48">
        <v>0.92354068594411354</v>
      </c>
      <c r="AH48">
        <v>0.83701257724418643</v>
      </c>
      <c r="AI48">
        <v>0.78599525421280991</v>
      </c>
      <c r="AJ48">
        <v>0.74894706030755775</v>
      </c>
    </row>
    <row r="50" spans="1:36" x14ac:dyDescent="0.25">
      <c r="A50" t="s">
        <v>750</v>
      </c>
      <c r="B50" t="s">
        <v>738</v>
      </c>
      <c r="C50">
        <v>1</v>
      </c>
      <c r="D50">
        <v>-59.57</v>
      </c>
      <c r="E50">
        <v>0.339306890964508</v>
      </c>
      <c r="F50">
        <v>0.77268159389495905</v>
      </c>
      <c r="G50">
        <v>4.4692139625549299</v>
      </c>
      <c r="H50">
        <v>15.634181976318301</v>
      </c>
      <c r="K50">
        <v>19.789113721438738</v>
      </c>
      <c r="L50">
        <v>58.32216865736661</v>
      </c>
      <c r="P50">
        <v>14.673179626464799</v>
      </c>
      <c r="Q50">
        <v>16.8988342285156</v>
      </c>
      <c r="R50">
        <v>17.360733032226499</v>
      </c>
      <c r="S50">
        <v>15.3995246887207</v>
      </c>
      <c r="T50">
        <v>14.232479095458901</v>
      </c>
      <c r="U50">
        <v>15.805866241455</v>
      </c>
      <c r="V50">
        <v>14.320674896240201</v>
      </c>
      <c r="W50">
        <v>13.463451385498001</v>
      </c>
      <c r="X50">
        <v>13.446895599365201</v>
      </c>
      <c r="Y50">
        <v>11.568092346191399</v>
      </c>
      <c r="AA50">
        <v>1</v>
      </c>
      <c r="AB50">
        <v>1.1516818207579611</v>
      </c>
      <c r="AC50">
        <v>1.183160942221029</v>
      </c>
      <c r="AD50">
        <v>1.0495015450465728</v>
      </c>
      <c r="AE50">
        <v>0.96996557377304615</v>
      </c>
      <c r="AF50">
        <v>1.0771943534956301</v>
      </c>
      <c r="AG50">
        <v>0.97597625469064553</v>
      </c>
      <c r="AH50">
        <v>0.91755513993811455</v>
      </c>
      <c r="AI50">
        <v>0.91642683737832453</v>
      </c>
      <c r="AJ50">
        <v>0.78838347520308338</v>
      </c>
    </row>
    <row r="51" spans="1:36" x14ac:dyDescent="0.25">
      <c r="B51" t="s">
        <v>739</v>
      </c>
      <c r="C51">
        <v>2</v>
      </c>
      <c r="D51">
        <v>-74.02</v>
      </c>
      <c r="E51">
        <v>0.24553428590297699</v>
      </c>
      <c r="F51">
        <v>0.84942936897277799</v>
      </c>
      <c r="G51">
        <v>3.7769026756286599</v>
      </c>
      <c r="H51">
        <v>14.871280670166</v>
      </c>
      <c r="K51">
        <v>17.719244562680892</v>
      </c>
      <c r="L51">
        <v>72.166070402414846</v>
      </c>
      <c r="P51">
        <v>15.419532775878899</v>
      </c>
      <c r="Q51">
        <v>15.9009742736816</v>
      </c>
      <c r="R51">
        <v>15.935462951660099</v>
      </c>
      <c r="S51">
        <v>15.0950469970703</v>
      </c>
      <c r="T51">
        <v>14.892711639404199</v>
      </c>
      <c r="U51">
        <v>13.375957489013601</v>
      </c>
      <c r="V51">
        <v>12.6404113769531</v>
      </c>
      <c r="W51">
        <v>12.668025970458901</v>
      </c>
      <c r="X51">
        <v>12.6987152099609</v>
      </c>
      <c r="Y51">
        <v>12.3262329101562</v>
      </c>
      <c r="AA51">
        <v>1</v>
      </c>
      <c r="AB51">
        <v>1.0312228330650737</v>
      </c>
      <c r="AC51">
        <v>1.0334595206793997</v>
      </c>
      <c r="AD51">
        <v>0.97895618605797197</v>
      </c>
      <c r="AE51">
        <v>0.96583416993679483</v>
      </c>
      <c r="AF51">
        <v>0.86746840409703552</v>
      </c>
      <c r="AG51">
        <v>0.81976617324791856</v>
      </c>
      <c r="AH51">
        <v>0.82155705718112038</v>
      </c>
      <c r="AI51">
        <v>0.82354734054106804</v>
      </c>
      <c r="AJ51">
        <v>0.79939081743374141</v>
      </c>
    </row>
    <row r="52" spans="1:36" x14ac:dyDescent="0.25">
      <c r="B52" t="s">
        <v>740</v>
      </c>
      <c r="C52">
        <v>3</v>
      </c>
      <c r="D52">
        <v>-58.8</v>
      </c>
      <c r="E52">
        <v>0.32400622963905301</v>
      </c>
      <c r="F52">
        <v>0.80225378274917603</v>
      </c>
      <c r="G52">
        <v>4.31221103668212</v>
      </c>
      <c r="H52">
        <v>15.5042152404785</v>
      </c>
      <c r="K52">
        <v>19.649011129004194</v>
      </c>
      <c r="L52">
        <v>60.643930059287555</v>
      </c>
      <c r="P52">
        <v>14.407752990722599</v>
      </c>
      <c r="Q52">
        <v>15.3374824523925</v>
      </c>
      <c r="R52">
        <v>15.2929916381835</v>
      </c>
      <c r="S52">
        <v>14.5302772521972</v>
      </c>
      <c r="T52">
        <v>13.5960426330566</v>
      </c>
      <c r="U52">
        <v>13.3648376464843</v>
      </c>
      <c r="V52">
        <v>12.980159759521401</v>
      </c>
      <c r="W52">
        <v>12.4441719055175</v>
      </c>
      <c r="X52">
        <v>11.7608108520507</v>
      </c>
      <c r="Y52">
        <v>12.3563919067382</v>
      </c>
      <c r="AA52">
        <v>1</v>
      </c>
      <c r="AB52">
        <v>1.0645298029657067</v>
      </c>
      <c r="AC52">
        <v>1.0614418256636493</v>
      </c>
      <c r="AD52">
        <v>1.0085040506700451</v>
      </c>
      <c r="AE52">
        <v>0.94366155789950912</v>
      </c>
      <c r="AF52">
        <v>0.92761429593428968</v>
      </c>
      <c r="AG52">
        <v>0.90091492878032753</v>
      </c>
      <c r="AH52">
        <v>0.86371357931597781</v>
      </c>
      <c r="AI52">
        <v>0.81628348706586573</v>
      </c>
      <c r="AJ52">
        <v>0.85762102631095172</v>
      </c>
    </row>
    <row r="53" spans="1:36" x14ac:dyDescent="0.25">
      <c r="B53" t="s">
        <v>741</v>
      </c>
      <c r="C53">
        <v>4</v>
      </c>
      <c r="D53">
        <v>-64.599999999999994</v>
      </c>
      <c r="E53">
        <v>0.55916279554367099</v>
      </c>
      <c r="F53">
        <v>0.92464941740036</v>
      </c>
      <c r="G53">
        <v>6.2257609367370597</v>
      </c>
      <c r="H53">
        <v>23.898777008056602</v>
      </c>
      <c r="K53">
        <v>33.945201911910559</v>
      </c>
      <c r="L53">
        <v>60.707189717273337</v>
      </c>
      <c r="P53">
        <v>21.006755828857401</v>
      </c>
      <c r="Q53">
        <v>22.1655960083007</v>
      </c>
      <c r="R53">
        <v>22.9012336730957</v>
      </c>
      <c r="S53">
        <v>22.243923187255799</v>
      </c>
      <c r="T53">
        <v>21.3112182617187</v>
      </c>
      <c r="U53">
        <v>20.049716949462798</v>
      </c>
      <c r="V53">
        <v>20.506332397460898</v>
      </c>
      <c r="W53">
        <v>19.184154510498001</v>
      </c>
      <c r="X53">
        <v>20.018268585205</v>
      </c>
      <c r="Y53">
        <v>18.560691833496001</v>
      </c>
      <c r="AA53">
        <v>1</v>
      </c>
      <c r="AB53">
        <v>1.0551651187305837</v>
      </c>
      <c r="AC53">
        <v>1.0901842178617518</v>
      </c>
      <c r="AD53">
        <v>1.058893784860339</v>
      </c>
      <c r="AE53">
        <v>1.0144935484251716</v>
      </c>
      <c r="AF53">
        <v>0.95444137651755356</v>
      </c>
      <c r="AG53">
        <v>0.97617797648178206</v>
      </c>
      <c r="AH53">
        <v>0.91323737309995978</v>
      </c>
      <c r="AI53">
        <v>0.95294431697566095</v>
      </c>
      <c r="AJ53">
        <v>0.88355822216007329</v>
      </c>
    </row>
    <row r="54" spans="1:36" x14ac:dyDescent="0.25">
      <c r="B54" t="s">
        <v>742</v>
      </c>
      <c r="C54">
        <v>5</v>
      </c>
      <c r="D54">
        <v>-51.29</v>
      </c>
      <c r="E54">
        <v>0.26050186157226601</v>
      </c>
      <c r="F54">
        <v>0.628440082073212</v>
      </c>
      <c r="G54">
        <v>3.7792832851409899</v>
      </c>
      <c r="H54">
        <v>18.403450012206999</v>
      </c>
      <c r="K54">
        <v>25.813076168126912</v>
      </c>
      <c r="L54">
        <v>99.08979541386536</v>
      </c>
      <c r="P54">
        <v>18.2589302062988</v>
      </c>
      <c r="Q54">
        <v>18.9796333312988</v>
      </c>
      <c r="R54">
        <v>18.679805755615199</v>
      </c>
      <c r="S54">
        <v>18.772010803222599</v>
      </c>
      <c r="T54">
        <v>17.9338684082031</v>
      </c>
      <c r="U54">
        <v>16.793586730956999</v>
      </c>
      <c r="V54">
        <v>17.324825286865199</v>
      </c>
      <c r="W54">
        <v>16.034599304199201</v>
      </c>
      <c r="X54">
        <v>15.444145202636699</v>
      </c>
      <c r="Y54">
        <v>15.8244514465332</v>
      </c>
      <c r="AA54">
        <v>1</v>
      </c>
      <c r="AB54">
        <v>1.0394712678594598</v>
      </c>
      <c r="AC54">
        <v>1.0230503947690872</v>
      </c>
      <c r="AD54">
        <v>1.0281002551149903</v>
      </c>
      <c r="AE54">
        <v>0.98219710605041022</v>
      </c>
      <c r="AF54">
        <v>0.91974647699588119</v>
      </c>
      <c r="AG54">
        <v>0.94884120214713552</v>
      </c>
      <c r="AH54">
        <v>0.87817846516920972</v>
      </c>
      <c r="AI54">
        <v>0.84584063951944555</v>
      </c>
      <c r="AJ54">
        <v>0.86666914587768262</v>
      </c>
    </row>
    <row r="55" spans="1:36" x14ac:dyDescent="0.25">
      <c r="B55" t="s">
        <v>743</v>
      </c>
      <c r="C55">
        <v>6</v>
      </c>
      <c r="D55">
        <v>-58.7</v>
      </c>
      <c r="E55">
        <v>0.37682318687438998</v>
      </c>
      <c r="F55">
        <v>0.77235925197601296</v>
      </c>
      <c r="G55">
        <v>4.6324572563171298</v>
      </c>
      <c r="H55">
        <v>21.1407966613769</v>
      </c>
      <c r="K55">
        <v>29.697130536717403</v>
      </c>
      <c r="L55">
        <v>78.809191077237571</v>
      </c>
      <c r="P55">
        <v>20.909988403320298</v>
      </c>
      <c r="Q55">
        <v>21.492538452148398</v>
      </c>
      <c r="R55">
        <v>21.522548675537099</v>
      </c>
      <c r="S55">
        <v>21.484386444091701</v>
      </c>
      <c r="T55">
        <v>20.571086883544901</v>
      </c>
      <c r="U55">
        <v>20.822555541992099</v>
      </c>
      <c r="V55">
        <v>19.867347717285099</v>
      </c>
      <c r="W55">
        <v>18.934776306152301</v>
      </c>
      <c r="X55">
        <v>18.023582458496001</v>
      </c>
      <c r="Y55">
        <v>16.2789916992187</v>
      </c>
      <c r="AA55">
        <v>1</v>
      </c>
      <c r="AB55">
        <v>1.0278598934438241</v>
      </c>
      <c r="AC55">
        <v>1.0292951033927658</v>
      </c>
      <c r="AD55">
        <v>1.0274700315319254</v>
      </c>
      <c r="AE55">
        <v>0.98379236213628973</v>
      </c>
      <c r="AF55">
        <v>0.99581860785181897</v>
      </c>
      <c r="AG55">
        <v>0.95013671619876949</v>
      </c>
      <c r="AH55">
        <v>0.90553738916209281</v>
      </c>
      <c r="AI55">
        <v>0.86196042345169521</v>
      </c>
      <c r="AJ55">
        <v>0.77852705535856526</v>
      </c>
    </row>
    <row r="56" spans="1:36" x14ac:dyDescent="0.25">
      <c r="B56" t="s">
        <v>744</v>
      </c>
      <c r="C56">
        <v>7</v>
      </c>
      <c r="D56">
        <v>-63.12</v>
      </c>
      <c r="E56">
        <v>0.17938767373561901</v>
      </c>
      <c r="F56">
        <v>0.882512748241425</v>
      </c>
      <c r="G56">
        <v>4.0252842903137198</v>
      </c>
      <c r="H56">
        <v>13.552188873291</v>
      </c>
      <c r="K56">
        <v>16.36271641951949</v>
      </c>
      <c r="L56">
        <v>91.214273973109272</v>
      </c>
      <c r="P56">
        <v>13.3691635131835</v>
      </c>
      <c r="Q56">
        <v>13.3759651184082</v>
      </c>
      <c r="R56">
        <v>14.009880065917899</v>
      </c>
      <c r="S56">
        <v>13.1915130615234</v>
      </c>
      <c r="T56">
        <v>12.8236846923828</v>
      </c>
      <c r="U56">
        <v>12.1382598876953</v>
      </c>
      <c r="V56">
        <v>12.062801361083901</v>
      </c>
      <c r="W56">
        <v>11.903495788574199</v>
      </c>
      <c r="X56">
        <v>10.455253601074199</v>
      </c>
      <c r="Y56">
        <v>11.638362884521401</v>
      </c>
      <c r="AA56">
        <v>1</v>
      </c>
      <c r="AB56">
        <v>1.0005087532378516</v>
      </c>
      <c r="AC56">
        <v>1.0479249544747196</v>
      </c>
      <c r="AD56">
        <v>0.98671192468512214</v>
      </c>
      <c r="AE56">
        <v>0.95919873219720919</v>
      </c>
      <c r="AF56">
        <v>0.90792964539072396</v>
      </c>
      <c r="AG56">
        <v>0.90228542340652962</v>
      </c>
      <c r="AH56">
        <v>0.89036952662266511</v>
      </c>
      <c r="AI56">
        <v>0.78204246591524917</v>
      </c>
      <c r="AJ56">
        <v>0.87053785175449949</v>
      </c>
    </row>
    <row r="57" spans="1:36" x14ac:dyDescent="0.25">
      <c r="B57" t="s">
        <v>745</v>
      </c>
      <c r="C57">
        <v>8</v>
      </c>
      <c r="D57">
        <v>-58.48</v>
      </c>
      <c r="E57">
        <v>0.33067762851715099</v>
      </c>
      <c r="F57">
        <v>0.55678689479827903</v>
      </c>
      <c r="G57">
        <v>3.2625756263732901</v>
      </c>
      <c r="H57">
        <v>25.5829544067382</v>
      </c>
      <c r="K57">
        <v>39.356697029113185</v>
      </c>
      <c r="L57">
        <v>119.01832369368134</v>
      </c>
      <c r="P57">
        <v>24.6899909973144</v>
      </c>
      <c r="Q57">
        <v>27.340803146362301</v>
      </c>
      <c r="R57">
        <v>27.5181884765625</v>
      </c>
      <c r="S57">
        <v>26.288465499877901</v>
      </c>
      <c r="T57">
        <v>24.9789009094238</v>
      </c>
      <c r="U57">
        <v>24.3620796203613</v>
      </c>
      <c r="V57">
        <v>23.9217414855957</v>
      </c>
      <c r="W57">
        <v>23.803142547607401</v>
      </c>
      <c r="X57">
        <v>22.212612152099599</v>
      </c>
      <c r="Y57">
        <v>21.345687866210898</v>
      </c>
      <c r="AA57">
        <v>1</v>
      </c>
      <c r="AB57">
        <v>1.1073638361932265</v>
      </c>
      <c r="AC57">
        <v>1.1145483398335678</v>
      </c>
      <c r="AD57">
        <v>1.064741801758347</v>
      </c>
      <c r="AE57">
        <v>1.0117014992893609</v>
      </c>
      <c r="AF57">
        <v>0.98671885392794323</v>
      </c>
      <c r="AG57">
        <v>0.9688841720597523</v>
      </c>
      <c r="AH57">
        <v>0.96408064912605829</v>
      </c>
      <c r="AI57">
        <v>0.89966060151725968</v>
      </c>
      <c r="AJ57">
        <v>0.86454822395572073</v>
      </c>
    </row>
    <row r="58" spans="1:36" x14ac:dyDescent="0.25">
      <c r="B58" t="s">
        <v>746</v>
      </c>
      <c r="C58">
        <v>9</v>
      </c>
      <c r="D58">
        <v>-57.66</v>
      </c>
      <c r="E58">
        <v>0.358671754598618</v>
      </c>
      <c r="F58">
        <v>0.60698962211608898</v>
      </c>
      <c r="G58">
        <v>3.65478515625</v>
      </c>
      <c r="H58">
        <v>21.930431365966701</v>
      </c>
      <c r="K58">
        <v>31.521576189794299</v>
      </c>
      <c r="L58">
        <v>87.88418877608423</v>
      </c>
      <c r="P58">
        <v>20.268733978271399</v>
      </c>
      <c r="Q58">
        <v>21.692367553710898</v>
      </c>
      <c r="R58">
        <v>22.390743255615199</v>
      </c>
      <c r="S58">
        <v>21.772403717041001</v>
      </c>
      <c r="T58">
        <v>20.911983489990199</v>
      </c>
      <c r="U58">
        <v>20.9406204223632</v>
      </c>
      <c r="V58">
        <v>19.000358581542901</v>
      </c>
      <c r="W58">
        <v>18.748386383056602</v>
      </c>
      <c r="X58">
        <v>18.3443298339843</v>
      </c>
      <c r="Y58">
        <v>18.124919891357401</v>
      </c>
      <c r="AA58">
        <v>1</v>
      </c>
      <c r="AB58">
        <v>1.0702379130815802</v>
      </c>
      <c r="AC58">
        <v>1.1046937257955356</v>
      </c>
      <c r="AD58">
        <v>1.0741866630832284</v>
      </c>
      <c r="AE58">
        <v>1.0317360478660571</v>
      </c>
      <c r="AF58">
        <v>1.0331489102778733</v>
      </c>
      <c r="AG58">
        <v>0.93742207095479035</v>
      </c>
      <c r="AH58">
        <v>0.92499050030235486</v>
      </c>
      <c r="AI58">
        <v>0.90505553300220387</v>
      </c>
      <c r="AJ58">
        <v>0.89423048873145106</v>
      </c>
    </row>
    <row r="59" spans="1:36" x14ac:dyDescent="0.25">
      <c r="B59" t="s">
        <v>747</v>
      </c>
      <c r="C59">
        <v>10</v>
      </c>
      <c r="D59">
        <v>-64.86</v>
      </c>
      <c r="E59">
        <v>0.24010005593299899</v>
      </c>
      <c r="F59">
        <v>0.73809742927551303</v>
      </c>
      <c r="G59">
        <v>4.3863377571105904</v>
      </c>
      <c r="H59">
        <v>17.411136627197202</v>
      </c>
      <c r="K59">
        <v>22.172828151881401</v>
      </c>
      <c r="L59">
        <v>92.34828399235704</v>
      </c>
      <c r="P59">
        <v>16.859794616699201</v>
      </c>
      <c r="Q59">
        <v>17.682449340820298</v>
      </c>
      <c r="R59">
        <v>17.663566589355401</v>
      </c>
      <c r="S59">
        <v>17.3683052062988</v>
      </c>
      <c r="T59">
        <v>16.8693542480468</v>
      </c>
      <c r="U59">
        <v>16.391128540038999</v>
      </c>
      <c r="V59">
        <v>15.577812194824199</v>
      </c>
      <c r="W59">
        <v>14.718559265136699</v>
      </c>
      <c r="X59">
        <v>15.765682220458901</v>
      </c>
      <c r="Y59">
        <v>13.990287780761699</v>
      </c>
      <c r="AA59">
        <v>1</v>
      </c>
      <c r="AB59">
        <v>1.0487938757751105</v>
      </c>
      <c r="AC59">
        <v>1.0476738887352806</v>
      </c>
      <c r="AD59">
        <v>1.0301611378525295</v>
      </c>
      <c r="AE59">
        <v>1.0005670075801594</v>
      </c>
      <c r="AF59">
        <v>0.97220214793150561</v>
      </c>
      <c r="AG59">
        <v>0.92396215665609416</v>
      </c>
      <c r="AH59">
        <v>0.87299754236379234</v>
      </c>
      <c r="AI59">
        <v>0.93510523579233817</v>
      </c>
      <c r="AJ59">
        <v>0.82980179170775148</v>
      </c>
    </row>
    <row r="60" spans="1:36" x14ac:dyDescent="0.25">
      <c r="B60" t="s">
        <v>748</v>
      </c>
      <c r="C60">
        <v>11</v>
      </c>
      <c r="D60">
        <v>-56.78</v>
      </c>
      <c r="E60">
        <v>0.28493475914001498</v>
      </c>
      <c r="F60">
        <v>0.606719970703125</v>
      </c>
      <c r="G60">
        <v>3.5587918758392298</v>
      </c>
      <c r="H60">
        <v>20.399864196777301</v>
      </c>
      <c r="K60">
        <v>28.628303975290731</v>
      </c>
      <c r="L60">
        <v>100.47318923705963</v>
      </c>
      <c r="P60">
        <v>20.154552459716701</v>
      </c>
      <c r="Q60">
        <v>20.752983093261701</v>
      </c>
      <c r="R60">
        <v>20.8243408203125</v>
      </c>
      <c r="S60">
        <v>20.569259643554599</v>
      </c>
      <c r="T60">
        <v>19.431842803955</v>
      </c>
      <c r="U60">
        <v>18.9624938964843</v>
      </c>
      <c r="V60">
        <v>17.863986968994102</v>
      </c>
      <c r="W60">
        <v>18.025840759277301</v>
      </c>
      <c r="X60">
        <v>15.938224792480399</v>
      </c>
      <c r="Y60">
        <v>16.563838958740199</v>
      </c>
      <c r="AA60">
        <v>1</v>
      </c>
      <c r="AB60">
        <v>1.0296920824583475</v>
      </c>
      <c r="AC60">
        <v>1.033232608956935</v>
      </c>
      <c r="AD60">
        <v>1.0205763528943042</v>
      </c>
      <c r="AE60">
        <v>0.96414161727449943</v>
      </c>
      <c r="AF60">
        <v>0.94085412883193553</v>
      </c>
      <c r="AG60">
        <v>0.88634997004767047</v>
      </c>
      <c r="AH60">
        <v>0.89438060186679424</v>
      </c>
      <c r="AI60">
        <v>0.79080023356194296</v>
      </c>
      <c r="AJ60">
        <v>0.82184106999382245</v>
      </c>
    </row>
    <row r="61" spans="1:36" x14ac:dyDescent="0.25">
      <c r="B61" t="s">
        <v>749</v>
      </c>
      <c r="C61">
        <v>12</v>
      </c>
      <c r="D61">
        <v>-62.93</v>
      </c>
      <c r="E61">
        <v>0.228514924645424</v>
      </c>
      <c r="F61">
        <v>0.53877717256545998</v>
      </c>
      <c r="G61">
        <v>2.9331705570220898</v>
      </c>
      <c r="H61">
        <v>16.533073425292901</v>
      </c>
      <c r="K61">
        <v>20.932639491743675</v>
      </c>
      <c r="L61">
        <v>91.602942452112828</v>
      </c>
      <c r="P61">
        <v>16.584526062011701</v>
      </c>
      <c r="Q61">
        <v>17.8268013000488</v>
      </c>
      <c r="R61">
        <v>17.729042053222599</v>
      </c>
      <c r="S61">
        <v>17.4848022460937</v>
      </c>
      <c r="T61">
        <v>17.1967658996582</v>
      </c>
      <c r="U61">
        <v>16.0924758911132</v>
      </c>
      <c r="V61">
        <v>15.179378509521401</v>
      </c>
      <c r="W61">
        <v>14.7456512451171</v>
      </c>
      <c r="X61">
        <v>14.4238510131835</v>
      </c>
      <c r="Y61">
        <v>14.577163696289</v>
      </c>
      <c r="AA61">
        <v>1</v>
      </c>
      <c r="AB61">
        <v>1.0749056821637273</v>
      </c>
      <c r="AC61">
        <v>1.0690110761640945</v>
      </c>
      <c r="AD61">
        <v>1.0542841068062934</v>
      </c>
      <c r="AE61">
        <v>1.0369163300390529</v>
      </c>
      <c r="AF61">
        <v>0.97033076682091113</v>
      </c>
      <c r="AG61">
        <v>0.91527357807897125</v>
      </c>
      <c r="AH61">
        <v>0.88912105115221207</v>
      </c>
      <c r="AI61">
        <v>0.86971740761543881</v>
      </c>
      <c r="AJ61">
        <v>0.87896172864892785</v>
      </c>
    </row>
    <row r="64" spans="1:36" x14ac:dyDescent="0.25">
      <c r="E64">
        <f>AVERAGE(E3:E10)</f>
        <v>0.23520231992006299</v>
      </c>
      <c r="K64">
        <f>AVERAGE(K3:K10)</f>
        <v>17.119725852385614</v>
      </c>
      <c r="L64">
        <f>AVERAGE(L3:L10)</f>
        <v>78.320542057485341</v>
      </c>
    </row>
    <row r="66" spans="5:12" x14ac:dyDescent="0.25">
      <c r="E66">
        <f>AVERAGE(E12:E22)</f>
        <v>0.1688433140516282</v>
      </c>
      <c r="K66">
        <f>AVERAGE(K12:K22)</f>
        <v>9.7830089680976258</v>
      </c>
      <c r="L66">
        <f>AVERAGE(L12:L22)</f>
        <v>58.2697940366495</v>
      </c>
    </row>
    <row r="68" spans="5:12" x14ac:dyDescent="0.25">
      <c r="E68">
        <f>AVERAGE(E24:E35)</f>
        <v>0.2293395412464935</v>
      </c>
      <c r="K68">
        <f>AVERAGE(K24:K35)</f>
        <v>18.128063123185399</v>
      </c>
      <c r="L68">
        <f>AVERAGE(L24:L35)</f>
        <v>79.559534496560516</v>
      </c>
    </row>
    <row r="70" spans="5:12" x14ac:dyDescent="0.25">
      <c r="E70">
        <f>AVERAGE(E37:E48)</f>
        <v>0.27684392407536501</v>
      </c>
      <c r="K70">
        <f>AVERAGE(K37:K48)</f>
        <v>19.839908211654564</v>
      </c>
      <c r="L70">
        <f>AVERAGE(L37:L48)</f>
        <v>74.459998557331645</v>
      </c>
    </row>
    <row r="72" spans="5:12" x14ac:dyDescent="0.25">
      <c r="E72">
        <f>AVERAGE(E50:E61)</f>
        <v>0.31063517058889095</v>
      </c>
      <c r="K72">
        <f>AVERAGE(K50:K61)</f>
        <v>25.465628273935124</v>
      </c>
      <c r="L72">
        <f>AVERAGE(L50:L61)</f>
        <v>84.356628954320811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9428-B998-4492-85FE-92C563A8872D}">
  <dimension ref="A1:N9"/>
  <sheetViews>
    <sheetView workbookViewId="0">
      <selection activeCell="P11" sqref="P11"/>
    </sheetView>
  </sheetViews>
  <sheetFormatPr defaultRowHeight="15" x14ac:dyDescent="0.25"/>
  <cols>
    <col min="1" max="1" width="12.85546875" bestFit="1" customWidth="1"/>
  </cols>
  <sheetData>
    <row r="1" spans="1:14" x14ac:dyDescent="0.25">
      <c r="A1" s="5"/>
      <c r="I1" s="14" t="s">
        <v>341</v>
      </c>
      <c r="J1" s="6"/>
    </row>
    <row r="2" spans="1:14" ht="45" x14ac:dyDescent="0.25">
      <c r="A2" s="8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15" t="s">
        <v>342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</row>
    <row r="3" spans="1:14" x14ac:dyDescent="0.25">
      <c r="A3" t="s">
        <v>343</v>
      </c>
      <c r="B3">
        <v>1</v>
      </c>
      <c r="C3">
        <v>-60.37</v>
      </c>
      <c r="D3">
        <v>0.188221</v>
      </c>
      <c r="E3">
        <v>7.8031800000000002</v>
      </c>
      <c r="F3">
        <v>8.7031242813259126</v>
      </c>
      <c r="G3">
        <v>26.280405724432342</v>
      </c>
      <c r="I3" t="s">
        <v>344</v>
      </c>
      <c r="J3">
        <v>-63.34</v>
      </c>
      <c r="K3">
        <v>0.25486799999999998</v>
      </c>
      <c r="L3">
        <v>17.828199999999999</v>
      </c>
      <c r="M3">
        <v>23.009313199710498</v>
      </c>
      <c r="N3">
        <v>90.279333614696625</v>
      </c>
    </row>
    <row r="4" spans="1:14" x14ac:dyDescent="0.25">
      <c r="A4" t="s">
        <v>345</v>
      </c>
      <c r="B4">
        <v>2</v>
      </c>
      <c r="C4">
        <v>-58.54</v>
      </c>
      <c r="D4">
        <v>0.244948</v>
      </c>
      <c r="E4">
        <v>11.453200000000001</v>
      </c>
      <c r="F4">
        <v>13.578474866254712</v>
      </c>
      <c r="G4">
        <v>55.434112000321342</v>
      </c>
      <c r="I4" t="s">
        <v>346</v>
      </c>
      <c r="J4">
        <v>-61.45</v>
      </c>
      <c r="K4">
        <v>0.35267199999999999</v>
      </c>
      <c r="L4">
        <v>22.0852</v>
      </c>
      <c r="M4">
        <v>30.997681687201815</v>
      </c>
      <c r="N4">
        <v>87.893798450690213</v>
      </c>
    </row>
    <row r="5" spans="1:14" x14ac:dyDescent="0.25">
      <c r="A5" t="s">
        <v>347</v>
      </c>
      <c r="B5">
        <v>3</v>
      </c>
      <c r="C5">
        <v>-68.5</v>
      </c>
      <c r="D5">
        <v>0.154916</v>
      </c>
      <c r="E5">
        <v>7.4087300000000003</v>
      </c>
      <c r="F5">
        <v>8.1104929479506005</v>
      </c>
      <c r="G5">
        <v>52.354133517200296</v>
      </c>
      <c r="I5" t="s">
        <v>348</v>
      </c>
      <c r="J5">
        <v>-71.260000000000005</v>
      </c>
      <c r="K5">
        <v>0.47201100000000001</v>
      </c>
      <c r="L5">
        <v>27.655100000000001</v>
      </c>
      <c r="M5">
        <v>40.107164493918091</v>
      </c>
      <c r="N5">
        <v>84.970825878884369</v>
      </c>
    </row>
    <row r="6" spans="1:14" x14ac:dyDescent="0.25">
      <c r="A6" t="s">
        <v>349</v>
      </c>
      <c r="B6">
        <v>4</v>
      </c>
      <c r="C6">
        <v>-59.61</v>
      </c>
      <c r="D6">
        <v>9.7972400000000001E-2</v>
      </c>
      <c r="E6">
        <v>3.0552199999999998</v>
      </c>
      <c r="F6">
        <v>3.1858486672036772</v>
      </c>
      <c r="G6">
        <v>32.517817948765952</v>
      </c>
      <c r="I6" t="s">
        <v>350</v>
      </c>
      <c r="J6">
        <v>-60.03</v>
      </c>
      <c r="K6">
        <v>0.34233000000000002</v>
      </c>
      <c r="L6">
        <v>23.078199999999999</v>
      </c>
      <c r="M6">
        <v>33.328594351732988</v>
      </c>
      <c r="N6">
        <v>97.358088253243906</v>
      </c>
    </row>
    <row r="7" spans="1:14" x14ac:dyDescent="0.25">
      <c r="A7" t="s">
        <v>351</v>
      </c>
      <c r="B7">
        <v>5</v>
      </c>
      <c r="C7">
        <v>-57.73</v>
      </c>
      <c r="D7">
        <v>9.5570100000000005E-2</v>
      </c>
      <c r="E7">
        <v>3.5069699999999999</v>
      </c>
      <c r="F7">
        <v>3.6861083531799999</v>
      </c>
      <c r="G7">
        <v>38.569681868910898</v>
      </c>
      <c r="I7" t="s">
        <v>352</v>
      </c>
      <c r="J7">
        <v>-65.37</v>
      </c>
      <c r="K7">
        <v>0.209589</v>
      </c>
      <c r="L7">
        <v>9.7818299999999994</v>
      </c>
      <c r="M7">
        <v>11.112058095315946</v>
      </c>
      <c r="N7">
        <v>53.018326798238199</v>
      </c>
    </row>
    <row r="9" spans="1:14" x14ac:dyDescent="0.25">
      <c r="D9">
        <f>AVERAGE(D3:D7)</f>
        <v>0.15632549999999998</v>
      </c>
      <c r="F9">
        <f>AVERAGE(F3:F7)</f>
        <v>7.4528098231829798</v>
      </c>
      <c r="G9">
        <f>AVERAGE(G3:G7)</f>
        <v>41.031230211926164</v>
      </c>
      <c r="K9">
        <f>AVERAGE(K3:K7)</f>
        <v>0.32629399999999997</v>
      </c>
      <c r="M9">
        <f>AVERAGE(M3:M7)</f>
        <v>27.71096236557587</v>
      </c>
      <c r="N9">
        <f>AVERAGE(N3:N7)</f>
        <v>82.704074599150658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D8BA-C714-478F-8F6E-E4561DEB6D12}">
  <dimension ref="A1:M44"/>
  <sheetViews>
    <sheetView topLeftCell="A25" zoomScaleNormal="100" workbookViewId="0">
      <selection activeCell="A43" sqref="A43:XFD43"/>
    </sheetView>
  </sheetViews>
  <sheetFormatPr defaultRowHeight="15" x14ac:dyDescent="0.25"/>
  <cols>
    <col min="1" max="1" width="17.28515625" customWidth="1"/>
    <col min="2" max="2" width="24.140625" customWidth="1"/>
  </cols>
  <sheetData>
    <row r="1" spans="1:13" x14ac:dyDescent="0.25">
      <c r="A1" s="4" t="s">
        <v>2</v>
      </c>
      <c r="B1" s="5"/>
    </row>
    <row r="2" spans="1:13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596</v>
      </c>
      <c r="G2" s="7" t="s">
        <v>553</v>
      </c>
      <c r="H2" s="7" t="s">
        <v>8</v>
      </c>
      <c r="I2" s="7" t="s">
        <v>596</v>
      </c>
      <c r="J2" s="7" t="s">
        <v>553</v>
      </c>
      <c r="K2" s="7" t="s">
        <v>9</v>
      </c>
      <c r="L2" s="7" t="s">
        <v>10</v>
      </c>
      <c r="M2" s="7" t="s">
        <v>11</v>
      </c>
    </row>
    <row r="3" spans="1:13" x14ac:dyDescent="0.25">
      <c r="A3" s="9">
        <v>43004</v>
      </c>
      <c r="B3" t="s">
        <v>353</v>
      </c>
      <c r="C3">
        <v>1</v>
      </c>
      <c r="D3">
        <v>-65</v>
      </c>
      <c r="E3">
        <v>0.39181345701217701</v>
      </c>
      <c r="H3">
        <v>12.3477478027343</v>
      </c>
      <c r="K3">
        <f>H3/(1-(0.8*(H3/(ABS(D3)))))</f>
        <v>14.560547398361745</v>
      </c>
      <c r="L3">
        <f t="shared" ref="L3:L13" si="0">K3/E3</f>
        <v>37.1619380033423</v>
      </c>
      <c r="M3">
        <f>3.76/E3</f>
        <v>9.5964034228746371</v>
      </c>
    </row>
    <row r="4" spans="1:13" x14ac:dyDescent="0.25">
      <c r="B4" t="s">
        <v>354</v>
      </c>
      <c r="C4">
        <v>2</v>
      </c>
      <c r="D4">
        <v>-76.91</v>
      </c>
      <c r="E4">
        <v>0.39187949895858798</v>
      </c>
      <c r="H4">
        <v>19.022102355956999</v>
      </c>
      <c r="K4">
        <f>H4/(1-(0.8*(H4/(ABS(D4)))))</f>
        <v>23.714295991665448</v>
      </c>
      <c r="L4">
        <f t="shared" si="0"/>
        <v>60.514255159266362</v>
      </c>
      <c r="M4">
        <f>3.05/E4</f>
        <v>7.7830047453498192</v>
      </c>
    </row>
    <row r="5" spans="1:13" x14ac:dyDescent="0.25">
      <c r="B5" t="s">
        <v>355</v>
      </c>
      <c r="C5">
        <v>3</v>
      </c>
      <c r="D5">
        <v>-65.14</v>
      </c>
      <c r="E5">
        <v>0.34503048658370999</v>
      </c>
      <c r="H5">
        <v>17.353897094726499</v>
      </c>
      <c r="K5">
        <f>H5/(1-(0.8*(H5/(ABS(D5)))))</f>
        <v>22.054264822430611</v>
      </c>
      <c r="L5">
        <f t="shared" si="0"/>
        <v>63.919756891047619</v>
      </c>
      <c r="M5">
        <f>7.23/E5</f>
        <v>20.954670039703537</v>
      </c>
    </row>
    <row r="6" spans="1:13" x14ac:dyDescent="0.25">
      <c r="B6" t="s">
        <v>356</v>
      </c>
      <c r="C6">
        <v>4</v>
      </c>
      <c r="D6">
        <v>-75.3</v>
      </c>
      <c r="E6">
        <v>0.15622819960117301</v>
      </c>
      <c r="H6">
        <v>3.8827667236328098</v>
      </c>
      <c r="K6">
        <f t="shared" ref="K6:K13" si="1">H6/(1-(0.8*(H6/(ABS(D6)))))</f>
        <v>4.0498268337697159</v>
      </c>
      <c r="L6">
        <f t="shared" si="0"/>
        <v>25.922508510680608</v>
      </c>
      <c r="M6">
        <f>3.56/E6</f>
        <v>22.787179325423594</v>
      </c>
    </row>
    <row r="7" spans="1:13" x14ac:dyDescent="0.25">
      <c r="B7" t="s">
        <v>357</v>
      </c>
      <c r="C7">
        <v>5</v>
      </c>
      <c r="D7">
        <v>-61.94</v>
      </c>
      <c r="E7">
        <v>0.31276512145996099</v>
      </c>
      <c r="H7">
        <v>13.6584129333496</v>
      </c>
      <c r="K7">
        <f t="shared" si="1"/>
        <v>16.583961444561321</v>
      </c>
      <c r="L7">
        <f t="shared" si="0"/>
        <v>53.023691923027734</v>
      </c>
      <c r="M7">
        <f>3.41/E7</f>
        <v>10.902750230212403</v>
      </c>
    </row>
    <row r="8" spans="1:13" s="11" customFormat="1" ht="20.25" thickBot="1" x14ac:dyDescent="0.35"/>
    <row r="9" spans="1:13" ht="15.75" thickTop="1" x14ac:dyDescent="0.25">
      <c r="A9" s="9">
        <v>43011</v>
      </c>
      <c r="B9" t="s">
        <v>358</v>
      </c>
      <c r="C9">
        <v>1</v>
      </c>
      <c r="D9">
        <v>-82.26</v>
      </c>
      <c r="E9">
        <v>0.328750520944595</v>
      </c>
      <c r="H9">
        <v>25.395011901855401</v>
      </c>
      <c r="K9">
        <f>H9/(1-(0.8*(H9/(ABS(D9)))))</f>
        <v>33.723911922838752</v>
      </c>
      <c r="L9">
        <f t="shared" si="0"/>
        <v>102.58207903652969</v>
      </c>
      <c r="M9">
        <f>1.81/E9</f>
        <v>5.5056946976064047</v>
      </c>
    </row>
    <row r="10" spans="1:13" x14ac:dyDescent="0.25">
      <c r="B10" t="s">
        <v>359</v>
      </c>
      <c r="C10">
        <v>2</v>
      </c>
      <c r="D10">
        <v>-80.459999999999994</v>
      </c>
      <c r="E10">
        <v>0.426655054092407</v>
      </c>
      <c r="H10">
        <v>22.469482421875</v>
      </c>
      <c r="K10">
        <f t="shared" si="1"/>
        <v>28.933528189217185</v>
      </c>
      <c r="L10">
        <f t="shared" si="0"/>
        <v>67.814802406982906</v>
      </c>
      <c r="M10">
        <f>2.12/E10</f>
        <v>4.9688852380050328</v>
      </c>
    </row>
    <row r="11" spans="1:13" x14ac:dyDescent="0.25">
      <c r="B11" t="s">
        <v>360</v>
      </c>
      <c r="C11">
        <v>3</v>
      </c>
      <c r="D11">
        <v>-64.069999999999993</v>
      </c>
      <c r="E11">
        <v>0.63683855533599898</v>
      </c>
      <c r="H11">
        <v>21.0044860839843</v>
      </c>
      <c r="K11">
        <f t="shared" si="1"/>
        <v>28.471749624050542</v>
      </c>
      <c r="L11">
        <f t="shared" si="0"/>
        <v>44.70795523526165</v>
      </c>
      <c r="M11" s="17">
        <f>0.29/E11</f>
        <v>0.45537443920460285</v>
      </c>
    </row>
    <row r="12" spans="1:13" x14ac:dyDescent="0.25">
      <c r="B12" t="s">
        <v>361</v>
      </c>
      <c r="C12">
        <v>4</v>
      </c>
      <c r="D12">
        <v>-82.94</v>
      </c>
      <c r="E12">
        <v>0.25743767619133001</v>
      </c>
      <c r="H12">
        <v>25.1175117492675</v>
      </c>
      <c r="K12">
        <f t="shared" si="1"/>
        <v>33.148438024061022</v>
      </c>
      <c r="L12">
        <f t="shared" si="0"/>
        <v>128.76296319356459</v>
      </c>
      <c r="M12">
        <f>1.91/E12</f>
        <v>7.4192714456467925</v>
      </c>
    </row>
    <row r="13" spans="1:13" x14ac:dyDescent="0.25">
      <c r="B13" t="s">
        <v>362</v>
      </c>
      <c r="C13">
        <v>5</v>
      </c>
      <c r="D13">
        <v>-75.959999999999994</v>
      </c>
      <c r="E13">
        <v>0.31693246960639998</v>
      </c>
      <c r="H13">
        <v>19.7700881958007</v>
      </c>
      <c r="K13">
        <f t="shared" si="1"/>
        <v>24.969035333271353</v>
      </c>
      <c r="L13">
        <f t="shared" si="0"/>
        <v>78.783456186362102</v>
      </c>
      <c r="M13">
        <f>1.05/E13</f>
        <v>3.3130086081239964</v>
      </c>
    </row>
    <row r="14" spans="1:13" s="11" customFormat="1" ht="20.25" thickBot="1" x14ac:dyDescent="0.35"/>
    <row r="15" spans="1:13" ht="15.75" thickTop="1" x14ac:dyDescent="0.25">
      <c r="A15" s="9">
        <v>43853</v>
      </c>
      <c r="B15" t="s">
        <v>363</v>
      </c>
      <c r="C15">
        <v>1</v>
      </c>
      <c r="D15">
        <v>-69.099999999999994</v>
      </c>
      <c r="E15">
        <v>0.33407199999999998</v>
      </c>
      <c r="H15">
        <v>18.596800000000002</v>
      </c>
      <c r="K15">
        <f>H15/(1-(0.8*(H15/(ABS(D15)))))</f>
        <v>23.699339905751408</v>
      </c>
      <c r="L15">
        <f t="shared" ref="L15:L25" si="2">K15/E15</f>
        <v>70.940814871498986</v>
      </c>
      <c r="M15">
        <f>3.76/E15</f>
        <v>11.255058789721977</v>
      </c>
    </row>
    <row r="16" spans="1:13" x14ac:dyDescent="0.25">
      <c r="B16" t="s">
        <v>364</v>
      </c>
      <c r="C16">
        <v>2</v>
      </c>
      <c r="D16">
        <v>-75.95</v>
      </c>
      <c r="E16">
        <v>0.30982399999999999</v>
      </c>
      <c r="H16">
        <v>19.0869</v>
      </c>
      <c r="K16">
        <f>H16/(1-(0.8*(H16/(ABS(D16)))))</f>
        <v>23.889891032503368</v>
      </c>
      <c r="L16">
        <f t="shared" si="2"/>
        <v>77.107942033229733</v>
      </c>
      <c r="M16">
        <f>3.05/E16</f>
        <v>9.8442986986159884</v>
      </c>
    </row>
    <row r="17" spans="1:13" x14ac:dyDescent="0.25">
      <c r="B17" t="s">
        <v>365</v>
      </c>
      <c r="C17">
        <v>3</v>
      </c>
      <c r="D17">
        <v>-72.81</v>
      </c>
      <c r="E17">
        <v>0.46483999999999998</v>
      </c>
      <c r="H17">
        <v>23.998999999999999</v>
      </c>
      <c r="K17">
        <f>H17/(1-(0.8*(H17/(ABS(D17)))))</f>
        <v>32.593566781320185</v>
      </c>
      <c r="L17">
        <f t="shared" si="2"/>
        <v>70.117818564065459</v>
      </c>
      <c r="M17">
        <f>7.23/E17</f>
        <v>15.553738920919027</v>
      </c>
    </row>
    <row r="18" spans="1:13" x14ac:dyDescent="0.25">
      <c r="B18" t="s">
        <v>366</v>
      </c>
      <c r="C18">
        <v>4</v>
      </c>
      <c r="D18">
        <v>-61.26</v>
      </c>
      <c r="E18">
        <v>0.27824700000000002</v>
      </c>
      <c r="H18">
        <v>15.292199999999999</v>
      </c>
      <c r="K18">
        <f t="shared" ref="K18:K19" si="3">H18/(1-(0.8*(H18/(ABS(D18)))))</f>
        <v>19.108138254126768</v>
      </c>
      <c r="L18">
        <f t="shared" si="2"/>
        <v>68.673294785305018</v>
      </c>
      <c r="M18">
        <f>3.56/E18</f>
        <v>12.794387720262931</v>
      </c>
    </row>
    <row r="19" spans="1:13" x14ac:dyDescent="0.25">
      <c r="A19" s="18"/>
      <c r="B19" t="s">
        <v>367</v>
      </c>
      <c r="C19">
        <v>5</v>
      </c>
      <c r="D19">
        <v>-56.03</v>
      </c>
      <c r="E19">
        <v>0.35805100000000001</v>
      </c>
      <c r="H19">
        <v>13.5113</v>
      </c>
      <c r="K19">
        <f t="shared" si="3"/>
        <v>16.740868371657747</v>
      </c>
      <c r="L19">
        <f t="shared" si="2"/>
        <v>46.75554144984303</v>
      </c>
      <c r="M19">
        <f>3.41/E19</f>
        <v>9.5237829247788728</v>
      </c>
    </row>
    <row r="20" spans="1:13" x14ac:dyDescent="0.25">
      <c r="A20" s="19"/>
      <c r="B20" t="s">
        <v>368</v>
      </c>
      <c r="C20">
        <v>6</v>
      </c>
      <c r="D20">
        <v>-56.69</v>
      </c>
      <c r="E20">
        <v>0.20204800000000001</v>
      </c>
      <c r="H20">
        <v>11.6119</v>
      </c>
      <c r="K20">
        <f>H20/(1-(0.8*(H20/(ABS(D20)))))</f>
        <v>13.887593775421685</v>
      </c>
      <c r="L20">
        <f t="shared" si="2"/>
        <v>68.73413137186057</v>
      </c>
      <c r="M20">
        <f>1.81/E20</f>
        <v>8.9582673424136843</v>
      </c>
    </row>
    <row r="21" spans="1:13" x14ac:dyDescent="0.25">
      <c r="A21" s="18"/>
      <c r="B21" t="s">
        <v>369</v>
      </c>
      <c r="C21">
        <v>7</v>
      </c>
      <c r="D21">
        <v>-59.47</v>
      </c>
      <c r="E21">
        <v>0.32141399999999998</v>
      </c>
      <c r="H21">
        <v>15.423999999999999</v>
      </c>
      <c r="K21">
        <f t="shared" ref="K21:K24" si="4">H21/(1-(0.8*(H21/(ABS(D21)))))</f>
        <v>19.462119887631864</v>
      </c>
      <c r="L21">
        <f t="shared" si="2"/>
        <v>60.551562432351623</v>
      </c>
      <c r="M21">
        <f>2.12/E21</f>
        <v>6.5958545676292886</v>
      </c>
    </row>
    <row r="22" spans="1:13" x14ac:dyDescent="0.25">
      <c r="A22" s="18" t="s">
        <v>370</v>
      </c>
      <c r="B22" t="s">
        <v>371</v>
      </c>
      <c r="C22">
        <v>8</v>
      </c>
      <c r="D22">
        <v>-51.94</v>
      </c>
      <c r="E22">
        <v>0.63683855533599898</v>
      </c>
      <c r="H22">
        <v>12.336399999999999</v>
      </c>
      <c r="K22">
        <f t="shared" si="4"/>
        <v>15.230311702536291</v>
      </c>
      <c r="L22">
        <f t="shared" si="2"/>
        <v>23.915498794668153</v>
      </c>
      <c r="M22" s="17">
        <f>0.29/E22</f>
        <v>0.45537443920460285</v>
      </c>
    </row>
    <row r="23" spans="1:13" x14ac:dyDescent="0.25">
      <c r="B23" t="s">
        <v>372</v>
      </c>
      <c r="C23">
        <v>10</v>
      </c>
      <c r="D23">
        <v>-51.61</v>
      </c>
      <c r="E23">
        <v>0.190109</v>
      </c>
      <c r="H23">
        <v>9.05457</v>
      </c>
      <c r="K23">
        <f t="shared" si="4"/>
        <v>10.532902095786843</v>
      </c>
      <c r="L23">
        <f t="shared" si="2"/>
        <v>55.404542108931423</v>
      </c>
      <c r="M23">
        <f>1.91/E23</f>
        <v>10.046867849496866</v>
      </c>
    </row>
    <row r="24" spans="1:13" x14ac:dyDescent="0.25">
      <c r="B24" t="s">
        <v>373</v>
      </c>
      <c r="C24">
        <v>11</v>
      </c>
      <c r="D24">
        <v>-55.17</v>
      </c>
      <c r="E24">
        <v>0.21841099999999999</v>
      </c>
      <c r="H24">
        <v>11.1273</v>
      </c>
      <c r="K24">
        <f t="shared" si="4"/>
        <v>13.268155487488588</v>
      </c>
      <c r="L24">
        <f t="shared" si="2"/>
        <v>60.748568009342883</v>
      </c>
      <c r="M24">
        <f>1.05/E24</f>
        <v>4.8074501742128373</v>
      </c>
    </row>
    <row r="25" spans="1:13" x14ac:dyDescent="0.25">
      <c r="A25" s="18"/>
      <c r="B25" t="s">
        <v>374</v>
      </c>
      <c r="C25">
        <v>12</v>
      </c>
      <c r="D25">
        <v>-50.73</v>
      </c>
      <c r="E25">
        <v>0.178676</v>
      </c>
      <c r="H25">
        <v>8.1502199999999991</v>
      </c>
      <c r="K25">
        <f>H25/(1-(0.8*(H25/(ABS(D25)))))</f>
        <v>9.3522349376464362</v>
      </c>
      <c r="L25">
        <f t="shared" si="2"/>
        <v>52.341864255112249</v>
      </c>
      <c r="M25">
        <f>3.05/E25</f>
        <v>17.070003805771339</v>
      </c>
    </row>
    <row r="26" spans="1:13" s="11" customFormat="1" ht="20.25" thickBot="1" x14ac:dyDescent="0.35"/>
    <row r="27" spans="1:13" ht="15.75" thickTop="1" x14ac:dyDescent="0.25">
      <c r="A27" s="9">
        <v>43872</v>
      </c>
      <c r="B27" t="s">
        <v>375</v>
      </c>
      <c r="C27">
        <v>1</v>
      </c>
      <c r="D27">
        <v>-64.569999999999993</v>
      </c>
      <c r="E27">
        <v>0.61769099999999999</v>
      </c>
      <c r="H27">
        <v>18.096599999999999</v>
      </c>
      <c r="K27">
        <f>H27/(1-(0.8*(H27/(ABS(D27)))))</f>
        <v>23.326692221943627</v>
      </c>
      <c r="L27">
        <f t="shared" ref="L27:L36" si="5">K27/E27</f>
        <v>37.764338839231314</v>
      </c>
      <c r="M27">
        <f>3.76/E27</f>
        <v>6.0871859878159142</v>
      </c>
    </row>
    <row r="28" spans="1:13" x14ac:dyDescent="0.25">
      <c r="B28" t="s">
        <v>354</v>
      </c>
      <c r="C28">
        <v>2</v>
      </c>
      <c r="D28">
        <v>-76.91</v>
      </c>
      <c r="E28">
        <v>0.39187949895858798</v>
      </c>
      <c r="H28">
        <v>19.022102355956999</v>
      </c>
      <c r="K28">
        <f>H28/(1-(0.8*(H28/(ABS(D28)))))</f>
        <v>23.714295991665448</v>
      </c>
      <c r="L28">
        <f t="shared" si="5"/>
        <v>60.514255159266362</v>
      </c>
      <c r="M28">
        <f>3.05/E28</f>
        <v>7.7830047453498192</v>
      </c>
    </row>
    <row r="29" spans="1:13" x14ac:dyDescent="0.25">
      <c r="B29" t="s">
        <v>355</v>
      </c>
      <c r="C29">
        <v>3</v>
      </c>
      <c r="D29">
        <v>-65.14</v>
      </c>
      <c r="E29">
        <v>0.34503048658370999</v>
      </c>
      <c r="H29">
        <v>17.353897094726499</v>
      </c>
      <c r="K29">
        <f>H29/(1-(0.8*(H29/(ABS(D29)))))</f>
        <v>22.054264822430611</v>
      </c>
      <c r="L29">
        <f t="shared" si="5"/>
        <v>63.919756891047619</v>
      </c>
      <c r="M29">
        <f>7.23/E29</f>
        <v>20.954670039703537</v>
      </c>
    </row>
    <row r="30" spans="1:13" x14ac:dyDescent="0.25">
      <c r="B30" t="s">
        <v>356</v>
      </c>
      <c r="C30">
        <v>4</v>
      </c>
      <c r="D30">
        <v>-75.3</v>
      </c>
      <c r="E30">
        <v>0.15622819960117301</v>
      </c>
      <c r="H30">
        <v>3.8827667236328098</v>
      </c>
      <c r="K30">
        <f t="shared" ref="K30:K31" si="6">H30/(1-(0.8*(H30/(ABS(D30)))))</f>
        <v>4.0498268337697159</v>
      </c>
      <c r="L30">
        <f t="shared" si="5"/>
        <v>25.922508510680608</v>
      </c>
      <c r="M30">
        <f>3.56/E30</f>
        <v>22.787179325423594</v>
      </c>
    </row>
    <row r="31" spans="1:13" x14ac:dyDescent="0.25">
      <c r="B31" t="s">
        <v>357</v>
      </c>
      <c r="C31">
        <v>5</v>
      </c>
      <c r="D31">
        <v>-61.94</v>
      </c>
      <c r="E31">
        <v>0.31276512145996099</v>
      </c>
      <c r="H31">
        <v>13.6584129333496</v>
      </c>
      <c r="K31">
        <f t="shared" si="6"/>
        <v>16.583961444561321</v>
      </c>
      <c r="L31">
        <f t="shared" si="5"/>
        <v>53.023691923027734</v>
      </c>
      <c r="M31">
        <f>3.41/E31</f>
        <v>10.902750230212403</v>
      </c>
    </row>
    <row r="32" spans="1:13" x14ac:dyDescent="0.25">
      <c r="A32" s="9"/>
      <c r="B32" t="s">
        <v>358</v>
      </c>
      <c r="C32">
        <v>1</v>
      </c>
      <c r="D32">
        <v>-82.26</v>
      </c>
      <c r="E32">
        <v>0.328750520944595</v>
      </c>
      <c r="H32">
        <v>25.395011901855401</v>
      </c>
      <c r="K32">
        <f>H32/(1-(0.8*(H32/(ABS(D32)))))</f>
        <v>33.723911922838752</v>
      </c>
      <c r="L32">
        <f t="shared" si="5"/>
        <v>102.58207903652969</v>
      </c>
      <c r="M32">
        <f>1.81/E32</f>
        <v>5.5056946976064047</v>
      </c>
    </row>
    <row r="33" spans="2:13" x14ac:dyDescent="0.25">
      <c r="B33" t="s">
        <v>359</v>
      </c>
      <c r="C33">
        <v>2</v>
      </c>
      <c r="D33">
        <v>-80.459999999999994</v>
      </c>
      <c r="E33">
        <v>0.426655054092407</v>
      </c>
      <c r="H33">
        <v>22.469482421875</v>
      </c>
      <c r="K33">
        <f t="shared" ref="K33:K36" si="7">H33/(1-(0.8*(H33/(ABS(D33)))))</f>
        <v>28.933528189217185</v>
      </c>
      <c r="L33">
        <f t="shared" si="5"/>
        <v>67.814802406982906</v>
      </c>
      <c r="M33">
        <f>2.12/E33</f>
        <v>4.9688852380050328</v>
      </c>
    </row>
    <row r="34" spans="2:13" x14ac:dyDescent="0.25">
      <c r="B34" t="s">
        <v>360</v>
      </c>
      <c r="C34">
        <v>3</v>
      </c>
      <c r="D34">
        <v>-64.069999999999993</v>
      </c>
      <c r="E34">
        <v>0.63683855533599898</v>
      </c>
      <c r="H34">
        <v>21.0044860839843</v>
      </c>
      <c r="K34">
        <f t="shared" si="7"/>
        <v>28.471749624050542</v>
      </c>
      <c r="L34">
        <f t="shared" si="5"/>
        <v>44.70795523526165</v>
      </c>
      <c r="M34" s="17">
        <f>0.29/E34</f>
        <v>0.45537443920460285</v>
      </c>
    </row>
    <row r="35" spans="2:13" x14ac:dyDescent="0.25">
      <c r="B35" t="s">
        <v>361</v>
      </c>
      <c r="C35">
        <v>4</v>
      </c>
      <c r="D35">
        <v>-82.94</v>
      </c>
      <c r="E35">
        <v>0.25743767619133001</v>
      </c>
      <c r="H35">
        <v>25.1175117492675</v>
      </c>
      <c r="K35">
        <f t="shared" si="7"/>
        <v>33.148438024061022</v>
      </c>
      <c r="L35">
        <f t="shared" si="5"/>
        <v>128.76296319356459</v>
      </c>
      <c r="M35">
        <f>1.91/E35</f>
        <v>7.4192714456467925</v>
      </c>
    </row>
    <row r="36" spans="2:13" x14ac:dyDescent="0.25">
      <c r="B36" t="s">
        <v>362</v>
      </c>
      <c r="C36">
        <v>5</v>
      </c>
      <c r="D36">
        <v>-75.959999999999994</v>
      </c>
      <c r="E36">
        <v>0.31693246960639998</v>
      </c>
      <c r="H36">
        <v>19.7700881958007</v>
      </c>
      <c r="K36">
        <f t="shared" si="7"/>
        <v>24.969035333271353</v>
      </c>
      <c r="L36">
        <f t="shared" si="5"/>
        <v>78.783456186362102</v>
      </c>
      <c r="M36">
        <f>1.05/E36</f>
        <v>3.3130086081239964</v>
      </c>
    </row>
    <row r="38" spans="2:13" x14ac:dyDescent="0.25">
      <c r="E38">
        <f>AVERAGE(E3:E7)</f>
        <v>0.31954335272312179</v>
      </c>
      <c r="K38">
        <f>AVERAGE(K3:K7)</f>
        <v>16.192579298157771</v>
      </c>
      <c r="L38">
        <f>AVERAGE(L3:L7)</f>
        <v>48.108430097472926</v>
      </c>
    </row>
    <row r="40" spans="2:13" x14ac:dyDescent="0.25">
      <c r="E40">
        <f>AVERAGE(E9:E13)</f>
        <v>0.39332285523414623</v>
      </c>
      <c r="K40">
        <f>AVERAGE(K9:K13)</f>
        <v>29.849332618687772</v>
      </c>
      <c r="L40">
        <f>AVERAGE(L9:L13)</f>
        <v>84.530251211740193</v>
      </c>
    </row>
    <row r="42" spans="2:13" x14ac:dyDescent="0.25">
      <c r="E42">
        <f>AVERAGE(E15:E25)</f>
        <v>0.3175027777578181</v>
      </c>
      <c r="K42">
        <f>AVERAGE(K15:K25)</f>
        <v>17.978647475624655</v>
      </c>
      <c r="L42">
        <f>AVERAGE(L15:L25)</f>
        <v>59.571961697837196</v>
      </c>
    </row>
    <row r="44" spans="2:13" x14ac:dyDescent="0.25">
      <c r="E44">
        <f>AVERAGE(E27:E36)</f>
        <v>0.37902085827741627</v>
      </c>
      <c r="K44">
        <f>AVERAGE(K27:K36)</f>
        <v>23.89757044078096</v>
      </c>
      <c r="L44">
        <f>AVERAGE(L27:L36)</f>
        <v>66.379580738195457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8110-0045-4280-AB5E-9B04A1A82CA1}">
  <dimension ref="A1:M25"/>
  <sheetViews>
    <sheetView workbookViewId="0">
      <selection activeCell="A24" sqref="A24:XFD24"/>
    </sheetView>
  </sheetViews>
  <sheetFormatPr defaultRowHeight="15" x14ac:dyDescent="0.25"/>
  <cols>
    <col min="1" max="1" width="10.7109375" bestFit="1" customWidth="1"/>
  </cols>
  <sheetData>
    <row r="1" spans="1:13" x14ac:dyDescent="0.25">
      <c r="A1" s="4" t="s">
        <v>2</v>
      </c>
      <c r="B1" s="5"/>
    </row>
    <row r="2" spans="1:13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596</v>
      </c>
      <c r="G2" s="7" t="s">
        <v>553</v>
      </c>
      <c r="H2" s="7" t="s">
        <v>8</v>
      </c>
      <c r="I2" s="7" t="s">
        <v>596</v>
      </c>
      <c r="J2" s="7" t="s">
        <v>553</v>
      </c>
      <c r="K2" s="7" t="s">
        <v>9</v>
      </c>
      <c r="L2" s="7" t="s">
        <v>10</v>
      </c>
      <c r="M2" s="7" t="s">
        <v>11</v>
      </c>
    </row>
    <row r="3" spans="1:13" x14ac:dyDescent="0.25">
      <c r="A3" s="9">
        <v>43018</v>
      </c>
      <c r="B3" t="s">
        <v>376</v>
      </c>
      <c r="C3">
        <v>1</v>
      </c>
      <c r="D3">
        <v>-72.02</v>
      </c>
      <c r="E3">
        <v>0.32014799999999999</v>
      </c>
      <c r="H3">
        <v>23.487500000000001</v>
      </c>
      <c r="K3">
        <f t="shared" ref="K3:K12" si="0">H3/(1-(0.8*(H3/(ABS(D3)))))</f>
        <v>31.778503663347742</v>
      </c>
      <c r="L3">
        <f t="shared" ref="L3:L12" si="1">K3/E3</f>
        <v>99.26191531212983</v>
      </c>
    </row>
    <row r="4" spans="1:13" x14ac:dyDescent="0.25">
      <c r="B4" t="s">
        <v>377</v>
      </c>
      <c r="C4">
        <v>2</v>
      </c>
      <c r="D4">
        <v>-76.3</v>
      </c>
      <c r="E4">
        <v>0.28126016259193398</v>
      </c>
      <c r="H4">
        <v>22.002487182617099</v>
      </c>
      <c r="K4">
        <f t="shared" si="0"/>
        <v>28.60045450896629</v>
      </c>
      <c r="L4">
        <f t="shared" si="1"/>
        <v>101.68683060338421</v>
      </c>
      <c r="M4">
        <f>1.98/E4</f>
        <v>7.0397456282235069</v>
      </c>
    </row>
    <row r="5" spans="1:13" x14ac:dyDescent="0.25">
      <c r="B5" t="s">
        <v>378</v>
      </c>
      <c r="C5">
        <v>3</v>
      </c>
      <c r="D5">
        <v>-75.349999999999994</v>
      </c>
      <c r="E5">
        <v>0.52825075387954701</v>
      </c>
      <c r="H5">
        <v>26.438575744628899</v>
      </c>
      <c r="K5">
        <f t="shared" si="0"/>
        <v>36.756057462415193</v>
      </c>
      <c r="L5">
        <f t="shared" si="1"/>
        <v>69.580700439088048</v>
      </c>
      <c r="M5">
        <f>3.2/E5</f>
        <v>6.0577291683897379</v>
      </c>
    </row>
    <row r="6" spans="1:13" x14ac:dyDescent="0.25">
      <c r="B6" t="s">
        <v>379</v>
      </c>
      <c r="C6">
        <v>4</v>
      </c>
      <c r="D6">
        <v>-81.27</v>
      </c>
      <c r="E6">
        <v>0.154409855604172</v>
      </c>
      <c r="H6">
        <v>19.2239074707031</v>
      </c>
      <c r="K6">
        <f t="shared" si="0"/>
        <v>23.71082465211067</v>
      </c>
      <c r="L6">
        <f t="shared" si="1"/>
        <v>153.55771533711626</v>
      </c>
    </row>
    <row r="7" spans="1:13" x14ac:dyDescent="0.25">
      <c r="B7" t="s">
        <v>380</v>
      </c>
      <c r="C7">
        <v>5</v>
      </c>
      <c r="D7">
        <v>-79.48</v>
      </c>
      <c r="E7">
        <v>0.195430412888527</v>
      </c>
      <c r="H7">
        <v>18.9190139770507</v>
      </c>
      <c r="K7">
        <f t="shared" si="0"/>
        <v>23.369153252499991</v>
      </c>
      <c r="L7">
        <f t="shared" si="1"/>
        <v>119.57787381757053</v>
      </c>
    </row>
    <row r="8" spans="1:13" x14ac:dyDescent="0.25">
      <c r="B8" t="s">
        <v>381</v>
      </c>
      <c r="C8">
        <v>6</v>
      </c>
      <c r="D8">
        <v>-82.96</v>
      </c>
      <c r="E8">
        <v>0.34621533751487699</v>
      </c>
      <c r="H8">
        <v>25.7658996582031</v>
      </c>
      <c r="K8">
        <f t="shared" si="0"/>
        <v>34.284399035048338</v>
      </c>
      <c r="L8">
        <f t="shared" si="1"/>
        <v>99.026228246098796</v>
      </c>
      <c r="M8">
        <f>1.86/E8</f>
        <v>5.3723789747474004</v>
      </c>
    </row>
    <row r="9" spans="1:13" x14ac:dyDescent="0.25">
      <c r="B9" t="s">
        <v>382</v>
      </c>
      <c r="C9">
        <v>7</v>
      </c>
      <c r="D9">
        <v>-78.150000000000006</v>
      </c>
      <c r="E9">
        <v>0.26229789853096003</v>
      </c>
      <c r="H9">
        <v>16.731819152831999</v>
      </c>
      <c r="K9">
        <f t="shared" si="0"/>
        <v>20.189930668089168</v>
      </c>
      <c r="L9">
        <f t="shared" si="1"/>
        <v>76.973284121474094</v>
      </c>
      <c r="M9">
        <f>1.37/E9</f>
        <v>5.2230689139062765</v>
      </c>
    </row>
    <row r="10" spans="1:13" x14ac:dyDescent="0.25">
      <c r="B10" t="s">
        <v>383</v>
      </c>
      <c r="C10">
        <v>8</v>
      </c>
      <c r="D10">
        <v>-83.31</v>
      </c>
      <c r="E10">
        <v>0.197115734219551</v>
      </c>
      <c r="H10">
        <v>18.190444946288999</v>
      </c>
      <c r="K10">
        <f t="shared" si="0"/>
        <v>22.04039986489774</v>
      </c>
      <c r="L10">
        <f t="shared" si="1"/>
        <v>111.81451319532286</v>
      </c>
      <c r="M10">
        <f>1.81/E10</f>
        <v>9.1824227384303576</v>
      </c>
    </row>
    <row r="11" spans="1:13" x14ac:dyDescent="0.25">
      <c r="B11" t="s">
        <v>384</v>
      </c>
      <c r="C11">
        <v>9</v>
      </c>
      <c r="D11">
        <v>-83.62</v>
      </c>
      <c r="E11">
        <v>0.16600063443183899</v>
      </c>
      <c r="H11">
        <v>12.027847290039</v>
      </c>
      <c r="K11">
        <f t="shared" si="0"/>
        <v>13.591885816566737</v>
      </c>
      <c r="L11">
        <f t="shared" si="1"/>
        <v>81.87851729053277</v>
      </c>
    </row>
    <row r="12" spans="1:13" x14ac:dyDescent="0.25">
      <c r="B12" t="s">
        <v>385</v>
      </c>
      <c r="C12">
        <v>10</v>
      </c>
      <c r="D12">
        <v>-82.75</v>
      </c>
      <c r="E12">
        <v>0.19132120907306699</v>
      </c>
      <c r="H12">
        <v>13.143592834472599</v>
      </c>
      <c r="K12">
        <f t="shared" si="0"/>
        <v>15.056834137473317</v>
      </c>
      <c r="L12">
        <f t="shared" si="1"/>
        <v>78.699242025608356</v>
      </c>
      <c r="M12">
        <f>0.87/E12</f>
        <v>4.5473264789359584</v>
      </c>
    </row>
    <row r="13" spans="1:13" s="11" customFormat="1" ht="20.25" thickBot="1" x14ac:dyDescent="0.35"/>
    <row r="14" spans="1:13" ht="15.75" thickTop="1" x14ac:dyDescent="0.25">
      <c r="A14" s="9">
        <v>43664</v>
      </c>
      <c r="B14" t="s">
        <v>386</v>
      </c>
      <c r="C14">
        <v>1</v>
      </c>
      <c r="D14">
        <v>-69</v>
      </c>
      <c r="E14">
        <v>0.16178200000000001</v>
      </c>
      <c r="H14">
        <v>12.819900000000001</v>
      </c>
      <c r="K14">
        <v>15.058080746179019</v>
      </c>
      <c r="L14">
        <v>93.076366630274194</v>
      </c>
    </row>
    <row r="15" spans="1:13" x14ac:dyDescent="0.25">
      <c r="A15" s="9">
        <v>43664</v>
      </c>
      <c r="B15" t="s">
        <v>387</v>
      </c>
      <c r="C15">
        <v>2</v>
      </c>
      <c r="D15">
        <v>-68.92</v>
      </c>
      <c r="E15">
        <v>0.16469</v>
      </c>
      <c r="H15">
        <v>9.0856300000000001</v>
      </c>
      <c r="K15">
        <v>10.156795215480255</v>
      </c>
      <c r="L15">
        <v>61.672203627908523</v>
      </c>
      <c r="M15">
        <f>0.98/E15</f>
        <v>5.9505738053312278</v>
      </c>
    </row>
    <row r="16" spans="1:13" x14ac:dyDescent="0.25">
      <c r="A16" s="9">
        <v>43664</v>
      </c>
      <c r="B16" t="s">
        <v>388</v>
      </c>
      <c r="C16">
        <v>3</v>
      </c>
      <c r="D16">
        <v>-67.540000000000006</v>
      </c>
      <c r="E16">
        <v>0.190052</v>
      </c>
      <c r="H16">
        <v>13.683</v>
      </c>
      <c r="K16">
        <v>16.329581790167087</v>
      </c>
      <c r="L16">
        <v>85.921651917196797</v>
      </c>
      <c r="M16">
        <f>0.78/E16</f>
        <v>4.1041399196009518</v>
      </c>
    </row>
    <row r="17" spans="1:13" x14ac:dyDescent="0.25">
      <c r="A17" s="9">
        <v>43664</v>
      </c>
      <c r="B17" t="s">
        <v>389</v>
      </c>
      <c r="C17">
        <v>4</v>
      </c>
      <c r="D17">
        <v>-62.52</v>
      </c>
      <c r="E17">
        <v>0.23524937033653301</v>
      </c>
      <c r="H17">
        <v>11.668392181396401</v>
      </c>
      <c r="K17">
        <v>13.716347707236938</v>
      </c>
      <c r="L17">
        <v>58.305566079157579</v>
      </c>
    </row>
    <row r="18" spans="1:13" x14ac:dyDescent="0.25">
      <c r="A18" s="9">
        <v>43664</v>
      </c>
      <c r="B18" t="s">
        <v>390</v>
      </c>
      <c r="C18">
        <v>5</v>
      </c>
      <c r="D18">
        <v>-54.24</v>
      </c>
      <c r="E18">
        <v>0.131292149424553</v>
      </c>
      <c r="H18">
        <v>9.2633132934570295</v>
      </c>
      <c r="K18">
        <v>10.72921404733667</v>
      </c>
      <c r="L18">
        <v>81.720149257684369</v>
      </c>
      <c r="M18">
        <f>0.79/E18</f>
        <v>6.0171152918322308</v>
      </c>
    </row>
    <row r="19" spans="1:13" x14ac:dyDescent="0.25">
      <c r="A19" s="9">
        <v>43664</v>
      </c>
      <c r="B19" t="s">
        <v>391</v>
      </c>
      <c r="C19">
        <v>6</v>
      </c>
      <c r="D19">
        <v>-57.22</v>
      </c>
      <c r="E19">
        <v>0.151978209614754</v>
      </c>
      <c r="H19">
        <v>8.1561775207519496</v>
      </c>
      <c r="K19">
        <v>9.2059560892554817</v>
      </c>
      <c r="L19">
        <v>60.574184368873958</v>
      </c>
    </row>
    <row r="20" spans="1:13" x14ac:dyDescent="0.25">
      <c r="A20" s="9">
        <v>43664</v>
      </c>
      <c r="B20" t="s">
        <v>392</v>
      </c>
      <c r="C20">
        <v>7</v>
      </c>
      <c r="D20">
        <v>-48.98</v>
      </c>
      <c r="E20">
        <v>0.17760445177555101</v>
      </c>
      <c r="H20">
        <v>6.8623275756835902</v>
      </c>
      <c r="K20">
        <v>7.7285752720518683</v>
      </c>
      <c r="L20">
        <v>43.515661881149889</v>
      </c>
    </row>
    <row r="21" spans="1:13" x14ac:dyDescent="0.25">
      <c r="A21" s="9">
        <v>43664</v>
      </c>
      <c r="B21" t="s">
        <v>393</v>
      </c>
      <c r="C21">
        <v>8</v>
      </c>
      <c r="D21">
        <v>-46.54</v>
      </c>
      <c r="E21">
        <v>0.19138908386230499</v>
      </c>
      <c r="H21">
        <v>7.8983726501464799</v>
      </c>
      <c r="K21">
        <v>9.139193560556329</v>
      </c>
      <c r="L21">
        <v>47.751906096857269</v>
      </c>
      <c r="M21">
        <f>1.24/E21</f>
        <v>6.4789484069641023</v>
      </c>
    </row>
    <row r="23" spans="1:13" x14ac:dyDescent="0.25">
      <c r="E23">
        <f>AVERAGE(E3:E12)</f>
        <v>0.26424499987344741</v>
      </c>
      <c r="K23">
        <f>AVERAGE(K3:K12)</f>
        <v>24.937844306141521</v>
      </c>
      <c r="L23">
        <f>AVERAGE(L3:L12)</f>
        <v>99.205682038832578</v>
      </c>
    </row>
    <row r="25" spans="1:13" x14ac:dyDescent="0.25">
      <c r="E25">
        <f>AVERAGE(E14:E21)</f>
        <v>0.17550465812671201</v>
      </c>
      <c r="K25">
        <f>AVERAGE(K14:K21)</f>
        <v>11.507968053532956</v>
      </c>
      <c r="L25">
        <f>AVERAGE(L14:L21)</f>
        <v>66.56721123238782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8344-FEA8-4315-BFA5-9B911043F637}">
  <dimension ref="A1:AJ19"/>
  <sheetViews>
    <sheetView workbookViewId="0">
      <selection activeCell="A18" sqref="A18:XFD18"/>
    </sheetView>
  </sheetViews>
  <sheetFormatPr defaultRowHeight="15" x14ac:dyDescent="0.25"/>
  <cols>
    <col min="1" max="1" width="9.7109375" bestFit="1" customWidth="1"/>
  </cols>
  <sheetData>
    <row r="1" spans="1:36" ht="45" x14ac:dyDescent="0.25">
      <c r="A1" s="7" t="s">
        <v>3</v>
      </c>
      <c r="B1" s="8" t="s">
        <v>163</v>
      </c>
      <c r="C1" s="7" t="s">
        <v>5</v>
      </c>
      <c r="D1" s="7" t="s">
        <v>6</v>
      </c>
      <c r="E1" s="7" t="s">
        <v>7</v>
      </c>
      <c r="F1" s="7" t="s">
        <v>596</v>
      </c>
      <c r="G1" s="7" t="s">
        <v>553</v>
      </c>
      <c r="H1" s="7" t="s">
        <v>8</v>
      </c>
      <c r="I1" s="7" t="s">
        <v>596</v>
      </c>
      <c r="J1" s="7" t="s">
        <v>553</v>
      </c>
      <c r="K1" s="7" t="s">
        <v>9</v>
      </c>
      <c r="L1" s="7" t="s">
        <v>10</v>
      </c>
      <c r="M1" s="12" t="s">
        <v>110</v>
      </c>
      <c r="N1" s="12" t="s">
        <v>394</v>
      </c>
      <c r="O1" s="20" t="s">
        <v>11</v>
      </c>
      <c r="P1" s="12" t="s">
        <v>395</v>
      </c>
      <c r="Q1">
        <v>2</v>
      </c>
      <c r="R1">
        <v>3</v>
      </c>
      <c r="S1">
        <v>4</v>
      </c>
      <c r="T1">
        <v>5</v>
      </c>
      <c r="U1">
        <v>6</v>
      </c>
      <c r="V1">
        <v>7</v>
      </c>
      <c r="W1">
        <v>8</v>
      </c>
      <c r="X1">
        <v>9</v>
      </c>
      <c r="Y1">
        <v>10</v>
      </c>
      <c r="AA1" t="s">
        <v>395</v>
      </c>
      <c r="AB1">
        <v>2</v>
      </c>
      <c r="AC1">
        <v>3</v>
      </c>
      <c r="AD1">
        <v>4</v>
      </c>
      <c r="AE1">
        <v>5</v>
      </c>
      <c r="AF1">
        <v>6</v>
      </c>
      <c r="AG1">
        <v>7</v>
      </c>
      <c r="AH1">
        <v>8</v>
      </c>
      <c r="AI1">
        <v>9</v>
      </c>
      <c r="AJ1">
        <v>10</v>
      </c>
    </row>
    <row r="2" spans="1:36" x14ac:dyDescent="0.25">
      <c r="A2" s="9">
        <v>43117</v>
      </c>
      <c r="B2" t="s">
        <v>396</v>
      </c>
      <c r="C2">
        <v>3</v>
      </c>
      <c r="D2">
        <v>-69.010000000000005</v>
      </c>
      <c r="E2">
        <v>0.2278</v>
      </c>
      <c r="H2">
        <v>11.7453</v>
      </c>
      <c r="K2">
        <f t="shared" ref="K2:K8" si="0">H2/(1-(0.8*(H2/ABS(D2))))</f>
        <v>13.596578256429389</v>
      </c>
      <c r="L2">
        <f>K2/E2</f>
        <v>59.686471713913029</v>
      </c>
      <c r="P2">
        <v>10.8817</v>
      </c>
      <c r="Q2">
        <v>13.229900000000001</v>
      </c>
      <c r="R2">
        <v>15.058199999999999</v>
      </c>
      <c r="S2">
        <v>14.953900000000001</v>
      </c>
      <c r="T2">
        <v>15.845499999999999</v>
      </c>
      <c r="U2">
        <v>12.9176</v>
      </c>
      <c r="V2">
        <v>12.847899999999999</v>
      </c>
      <c r="W2">
        <v>13.754799999999999</v>
      </c>
      <c r="X2">
        <v>15.2568</v>
      </c>
      <c r="Y2">
        <v>12.221399999999999</v>
      </c>
      <c r="AA2">
        <f t="shared" ref="AA2:AA8" si="1">P2/P2</f>
        <v>1</v>
      </c>
      <c r="AB2">
        <f t="shared" ref="AB2:AB8" si="2">Q2/P2</f>
        <v>1.2157934881498296</v>
      </c>
      <c r="AC2">
        <f t="shared" ref="AC2:AC8" si="3">R2/P2</f>
        <v>1.3838095150573899</v>
      </c>
      <c r="AD2">
        <f t="shared" ref="AD2:AD8" si="4">S2/P2</f>
        <v>1.3742246156391005</v>
      </c>
      <c r="AE2">
        <f t="shared" ref="AE2:AE8" si="5">T2/P2</f>
        <v>1.4561603425935286</v>
      </c>
      <c r="AF2">
        <f t="shared" ref="AF2:AF8" si="6">U2/P2</f>
        <v>1.187093928338403</v>
      </c>
      <c r="AG2">
        <f t="shared" ref="AG2:AG8" si="7">V2/P2</f>
        <v>1.1806886791585873</v>
      </c>
      <c r="AH2">
        <f t="shared" ref="AH2:AH8" si="8">W2/P2</f>
        <v>1.2640304364207797</v>
      </c>
      <c r="AI2">
        <f t="shared" ref="AI2:AI8" si="9">X2/P2</f>
        <v>1.4020603398366063</v>
      </c>
      <c r="AJ2">
        <f t="shared" ref="AJ2:AJ8" si="10">Y2/P2</f>
        <v>1.1231149544648353</v>
      </c>
    </row>
    <row r="3" spans="1:36" x14ac:dyDescent="0.25">
      <c r="A3" s="9">
        <v>43117</v>
      </c>
      <c r="B3" t="s">
        <v>397</v>
      </c>
      <c r="C3">
        <v>4</v>
      </c>
      <c r="D3">
        <v>-65.06</v>
      </c>
      <c r="E3">
        <v>0.18452099999999999</v>
      </c>
      <c r="H3">
        <v>9.70214</v>
      </c>
      <c r="K3">
        <f t="shared" si="0"/>
        <v>11.016406430851827</v>
      </c>
      <c r="L3">
        <f t="shared" ref="L3:L8" si="11">K3/E3</f>
        <v>59.702724518357407</v>
      </c>
      <c r="P3">
        <v>8.5662500000000001</v>
      </c>
      <c r="Q3">
        <v>11.146100000000001</v>
      </c>
      <c r="R3">
        <v>11.819800000000001</v>
      </c>
      <c r="S3">
        <v>11.4938</v>
      </c>
      <c r="T3">
        <v>11.7798</v>
      </c>
      <c r="U3">
        <v>11.561400000000001</v>
      </c>
      <c r="V3">
        <v>12.1021</v>
      </c>
      <c r="W3">
        <v>11.6129</v>
      </c>
      <c r="X3">
        <v>11.0036</v>
      </c>
      <c r="Y3">
        <v>10.875299999999999</v>
      </c>
      <c r="AA3">
        <f t="shared" si="1"/>
        <v>1</v>
      </c>
      <c r="AB3">
        <f t="shared" si="2"/>
        <v>1.3011644535240041</v>
      </c>
      <c r="AC3">
        <f t="shared" si="3"/>
        <v>1.3798103020574932</v>
      </c>
      <c r="AD3">
        <f t="shared" si="4"/>
        <v>1.341753976360718</v>
      </c>
      <c r="AE3">
        <f t="shared" si="5"/>
        <v>1.3751408142419379</v>
      </c>
      <c r="AF3">
        <f t="shared" si="6"/>
        <v>1.3496454107690063</v>
      </c>
      <c r="AG3">
        <f t="shared" si="7"/>
        <v>1.4127652123157741</v>
      </c>
      <c r="AH3">
        <f t="shared" si="8"/>
        <v>1.3556573763315336</v>
      </c>
      <c r="AI3">
        <f t="shared" si="9"/>
        <v>1.2845294031810885</v>
      </c>
      <c r="AJ3">
        <f t="shared" si="10"/>
        <v>1.2695520210126952</v>
      </c>
    </row>
    <row r="4" spans="1:36" x14ac:dyDescent="0.25">
      <c r="A4" s="9">
        <v>43117</v>
      </c>
      <c r="B4" t="s">
        <v>398</v>
      </c>
      <c r="C4">
        <v>5</v>
      </c>
      <c r="D4">
        <v>-61.84</v>
      </c>
      <c r="E4">
        <v>0.28392899999999999</v>
      </c>
      <c r="H4">
        <v>9.1250499999999999</v>
      </c>
      <c r="K4">
        <f t="shared" si="0"/>
        <v>10.346415582262987</v>
      </c>
      <c r="L4">
        <f t="shared" si="11"/>
        <v>36.440150820321229</v>
      </c>
      <c r="P4">
        <v>8.8246300000000009</v>
      </c>
      <c r="Q4">
        <v>9.7336500000000008</v>
      </c>
      <c r="R4">
        <v>9.97363</v>
      </c>
      <c r="S4">
        <v>10.009</v>
      </c>
      <c r="T4">
        <v>10.038399999999999</v>
      </c>
      <c r="U4">
        <v>10.4498</v>
      </c>
      <c r="V4">
        <v>10.392300000000001</v>
      </c>
      <c r="W4">
        <v>10.2204</v>
      </c>
      <c r="X4">
        <v>10.001099999999999</v>
      </c>
      <c r="Y4">
        <v>9.1783999999999999</v>
      </c>
      <c r="AA4">
        <f t="shared" si="1"/>
        <v>1</v>
      </c>
      <c r="AB4">
        <f t="shared" si="2"/>
        <v>1.1030094179585999</v>
      </c>
      <c r="AC4">
        <f t="shared" si="3"/>
        <v>1.1302037592510961</v>
      </c>
      <c r="AD4">
        <f t="shared" si="4"/>
        <v>1.1342118593074157</v>
      </c>
      <c r="AE4">
        <f t="shared" si="5"/>
        <v>1.1375434437477829</v>
      </c>
      <c r="AF4">
        <f t="shared" si="6"/>
        <v>1.1841629620731973</v>
      </c>
      <c r="AG4">
        <f t="shared" si="7"/>
        <v>1.1776471081507101</v>
      </c>
      <c r="AH4">
        <f t="shared" si="8"/>
        <v>1.1581675379024388</v>
      </c>
      <c r="AI4">
        <f t="shared" si="9"/>
        <v>1.133316637638065</v>
      </c>
      <c r="AJ4">
        <f t="shared" si="10"/>
        <v>1.0400889329071019</v>
      </c>
    </row>
    <row r="5" spans="1:36" x14ac:dyDescent="0.25">
      <c r="A5" s="9">
        <v>43117</v>
      </c>
      <c r="B5" t="s">
        <v>399</v>
      </c>
      <c r="C5">
        <v>6</v>
      </c>
      <c r="D5">
        <v>-67.83</v>
      </c>
      <c r="E5">
        <v>0.23367199999999999</v>
      </c>
      <c r="H5">
        <v>12.2828</v>
      </c>
      <c r="K5">
        <f t="shared" si="0"/>
        <v>14.36359167060894</v>
      </c>
      <c r="L5">
        <f t="shared" si="11"/>
        <v>61.469032107436668</v>
      </c>
      <c r="P5">
        <v>12.0458</v>
      </c>
      <c r="Q5">
        <v>12.523099999999999</v>
      </c>
      <c r="R5">
        <v>13.8902</v>
      </c>
      <c r="S5">
        <v>15.0364</v>
      </c>
      <c r="T5">
        <v>13.092700000000001</v>
      </c>
      <c r="U5">
        <v>13.489699999999999</v>
      </c>
      <c r="V5">
        <v>13.702</v>
      </c>
      <c r="W5">
        <v>12.205500000000001</v>
      </c>
      <c r="X5">
        <v>11.4381</v>
      </c>
      <c r="Y5">
        <v>10.8325</v>
      </c>
      <c r="AA5">
        <f t="shared" si="1"/>
        <v>1</v>
      </c>
      <c r="AB5">
        <f t="shared" si="2"/>
        <v>1.0396237692805792</v>
      </c>
      <c r="AC5">
        <f t="shared" si="3"/>
        <v>1.1531156087598997</v>
      </c>
      <c r="AD5">
        <f t="shared" si="4"/>
        <v>1.2482691062445002</v>
      </c>
      <c r="AE5">
        <f t="shared" si="5"/>
        <v>1.0869099603181192</v>
      </c>
      <c r="AF5">
        <f t="shared" si="6"/>
        <v>1.1198675056866294</v>
      </c>
      <c r="AG5">
        <f t="shared" si="7"/>
        <v>1.1374919058925104</v>
      </c>
      <c r="AH5">
        <f t="shared" si="8"/>
        <v>1.013257732985771</v>
      </c>
      <c r="AI5">
        <f t="shared" si="9"/>
        <v>0.94955088080492789</v>
      </c>
      <c r="AJ5">
        <f t="shared" si="10"/>
        <v>0.89927609623271176</v>
      </c>
    </row>
    <row r="6" spans="1:36" x14ac:dyDescent="0.25">
      <c r="A6" s="9">
        <v>43117</v>
      </c>
      <c r="B6" t="s">
        <v>400</v>
      </c>
      <c r="C6">
        <v>7</v>
      </c>
      <c r="D6">
        <v>-77.12</v>
      </c>
      <c r="E6">
        <v>0.24962400000000001</v>
      </c>
      <c r="H6">
        <v>6.3560699999999999</v>
      </c>
      <c r="K6">
        <f t="shared" si="0"/>
        <v>6.804735732880606</v>
      </c>
      <c r="L6">
        <f t="shared" si="11"/>
        <v>27.259941884116135</v>
      </c>
      <c r="P6">
        <v>7.5797100000000004</v>
      </c>
      <c r="Q6">
        <v>6.9557500000000001</v>
      </c>
      <c r="R6">
        <v>9.0196500000000004</v>
      </c>
      <c r="S6">
        <v>8.7950499999999998</v>
      </c>
      <c r="T6">
        <v>9.9331300000000002</v>
      </c>
      <c r="U6">
        <v>9.3164099999999994</v>
      </c>
      <c r="V6">
        <v>7.0587799999999996</v>
      </c>
      <c r="W6">
        <v>6.7027400000000004</v>
      </c>
      <c r="X6">
        <v>7.4901499999999999</v>
      </c>
      <c r="Y6">
        <v>7.3114299999999997</v>
      </c>
      <c r="AA6">
        <f t="shared" si="1"/>
        <v>1</v>
      </c>
      <c r="AB6">
        <f t="shared" si="2"/>
        <v>0.91768022787151482</v>
      </c>
      <c r="AC6">
        <f t="shared" si="3"/>
        <v>1.1899729673034984</v>
      </c>
      <c r="AD6">
        <f t="shared" si="4"/>
        <v>1.1603412267751667</v>
      </c>
      <c r="AE6">
        <f t="shared" si="5"/>
        <v>1.3104894514433929</v>
      </c>
      <c r="AF6">
        <f t="shared" si="6"/>
        <v>1.2291248609775307</v>
      </c>
      <c r="AG6">
        <f t="shared" si="7"/>
        <v>0.93127309620025034</v>
      </c>
      <c r="AH6">
        <f t="shared" si="8"/>
        <v>0.88430032283557025</v>
      </c>
      <c r="AI6">
        <f t="shared" si="9"/>
        <v>0.9881842445159511</v>
      </c>
      <c r="AJ6">
        <f t="shared" si="10"/>
        <v>0.96460550601540151</v>
      </c>
    </row>
    <row r="7" spans="1:36" x14ac:dyDescent="0.25">
      <c r="A7" s="9">
        <v>43117</v>
      </c>
      <c r="B7" t="s">
        <v>401</v>
      </c>
      <c r="C7">
        <v>8</v>
      </c>
      <c r="D7">
        <v>-65.39</v>
      </c>
      <c r="E7">
        <v>0.10225099999999999</v>
      </c>
      <c r="H7">
        <v>5.1233000000000004</v>
      </c>
      <c r="K7">
        <f t="shared" si="0"/>
        <v>5.4659023229375236</v>
      </c>
      <c r="L7">
        <f t="shared" si="11"/>
        <v>53.455734642570967</v>
      </c>
      <c r="P7">
        <v>5.0180800000000003</v>
      </c>
      <c r="Q7">
        <v>5.5447800000000003</v>
      </c>
      <c r="R7">
        <v>6.4706700000000001</v>
      </c>
      <c r="S7">
        <v>6.3397899999999998</v>
      </c>
      <c r="T7">
        <v>6.2148700000000003</v>
      </c>
      <c r="U7">
        <v>6.2511099999999997</v>
      </c>
      <c r="V7">
        <v>5.7145400000000004</v>
      </c>
      <c r="W7">
        <v>5.2911999999999999</v>
      </c>
      <c r="X7">
        <v>5.2376699999999996</v>
      </c>
      <c r="Y7">
        <v>4.7763299999999997</v>
      </c>
      <c r="AA7">
        <f t="shared" si="1"/>
        <v>1</v>
      </c>
      <c r="AB7">
        <f t="shared" si="2"/>
        <v>1.1049604629659153</v>
      </c>
      <c r="AC7">
        <f t="shared" si="3"/>
        <v>1.2894712718808787</v>
      </c>
      <c r="AD7">
        <f t="shared" si="4"/>
        <v>1.2633895832669066</v>
      </c>
      <c r="AE7">
        <f t="shared" si="5"/>
        <v>1.2384955999107228</v>
      </c>
      <c r="AF7">
        <f t="shared" si="6"/>
        <v>1.2457174855721709</v>
      </c>
      <c r="AG7">
        <f t="shared" si="7"/>
        <v>1.1387901348723017</v>
      </c>
      <c r="AH7">
        <f t="shared" si="8"/>
        <v>1.0544271912763445</v>
      </c>
      <c r="AI7">
        <f t="shared" si="9"/>
        <v>1.0437597646908776</v>
      </c>
      <c r="AJ7">
        <f t="shared" si="10"/>
        <v>0.95182420367949483</v>
      </c>
    </row>
    <row r="8" spans="1:36" x14ac:dyDescent="0.25">
      <c r="A8" s="9">
        <v>43117</v>
      </c>
      <c r="B8" t="s">
        <v>402</v>
      </c>
      <c r="C8">
        <v>9</v>
      </c>
      <c r="D8">
        <v>-63.41</v>
      </c>
      <c r="E8">
        <v>8.5082400000000002E-2</v>
      </c>
      <c r="H8">
        <v>5.2530700000000001</v>
      </c>
      <c r="K8">
        <f t="shared" si="0"/>
        <v>5.6259244379398679</v>
      </c>
      <c r="L8">
        <f t="shared" si="11"/>
        <v>66.123245676425057</v>
      </c>
      <c r="P8">
        <v>4.7753100000000002</v>
      </c>
      <c r="Q8">
        <v>5.4015599999999999</v>
      </c>
      <c r="R8">
        <v>5.7063899999999999</v>
      </c>
      <c r="S8">
        <v>6.3074599999999998</v>
      </c>
      <c r="T8">
        <v>6.0439800000000004</v>
      </c>
      <c r="U8">
        <v>5.6116299999999999</v>
      </c>
      <c r="V8">
        <v>5.6940600000000003</v>
      </c>
      <c r="W8">
        <v>5.4568700000000003</v>
      </c>
      <c r="X8">
        <v>5.0044199999999996</v>
      </c>
      <c r="Y8">
        <v>4.8112300000000001</v>
      </c>
      <c r="AA8">
        <f t="shared" si="1"/>
        <v>1</v>
      </c>
      <c r="AB8">
        <f t="shared" si="2"/>
        <v>1.1311433184442476</v>
      </c>
      <c r="AC8">
        <f t="shared" si="3"/>
        <v>1.1949779176639841</v>
      </c>
      <c r="AD8">
        <f t="shared" si="4"/>
        <v>1.3208482800069523</v>
      </c>
      <c r="AE8">
        <f t="shared" si="5"/>
        <v>1.2656728044880856</v>
      </c>
      <c r="AF8">
        <f t="shared" si="6"/>
        <v>1.1751341797705279</v>
      </c>
      <c r="AG8">
        <f t="shared" si="7"/>
        <v>1.1923958863403632</v>
      </c>
      <c r="AH8">
        <f t="shared" si="8"/>
        <v>1.1427258125650481</v>
      </c>
      <c r="AI8">
        <f t="shared" si="9"/>
        <v>1.0479780370279626</v>
      </c>
      <c r="AJ8">
        <f t="shared" si="10"/>
        <v>1.0075220247481316</v>
      </c>
    </row>
    <row r="9" spans="1:36" s="11" customFormat="1" ht="20.25" thickBot="1" x14ac:dyDescent="0.35"/>
    <row r="10" spans="1:36" ht="15.75" thickTop="1" x14ac:dyDescent="0.25">
      <c r="A10" s="9">
        <v>43123</v>
      </c>
      <c r="B10" t="s">
        <v>403</v>
      </c>
      <c r="C10">
        <v>1</v>
      </c>
      <c r="D10">
        <v>-84.78</v>
      </c>
      <c r="E10">
        <v>0.157456263899803</v>
      </c>
      <c r="H10">
        <v>7.5209000000000001</v>
      </c>
      <c r="K10">
        <f t="shared" ref="K10:K15" si="12">H10/(1-(0.8*(H10/ABS(D10))))</f>
        <v>8.0954208864841579</v>
      </c>
      <c r="L10">
        <f>K10/E10</f>
        <v>51.413774758657198</v>
      </c>
      <c r="P10">
        <v>7.7099200000000003</v>
      </c>
      <c r="Q10">
        <v>8.8181100000000008</v>
      </c>
      <c r="R10">
        <v>8.4919499999999992</v>
      </c>
      <c r="S10">
        <v>8.6080299999999994</v>
      </c>
      <c r="T10">
        <v>7.49437</v>
      </c>
      <c r="U10">
        <v>8.3546800000000001</v>
      </c>
      <c r="V10">
        <v>8.0027899999999992</v>
      </c>
      <c r="W10">
        <v>7.4256399999999996</v>
      </c>
      <c r="X10">
        <v>6.5540900000000004</v>
      </c>
      <c r="Y10">
        <v>6.4367299999999998</v>
      </c>
      <c r="AA10">
        <f>P10/P10</f>
        <v>1</v>
      </c>
      <c r="AB10">
        <f>Q10/P10</f>
        <v>1.1437356029634549</v>
      </c>
      <c r="AC10">
        <f>R10/P10</f>
        <v>1.1014316620665323</v>
      </c>
      <c r="AD10">
        <f>S10/P10</f>
        <v>1.116487590013904</v>
      </c>
      <c r="AE10">
        <f>T10/P10</f>
        <v>0.97204251146574794</v>
      </c>
      <c r="AF10">
        <f>U10/P10</f>
        <v>1.0836273268723928</v>
      </c>
      <c r="AG10">
        <f>V10/P10</f>
        <v>1.0379861269637038</v>
      </c>
      <c r="AH10">
        <f>W10/P10</f>
        <v>0.96312802208064408</v>
      </c>
      <c r="AI10">
        <f>X10/P10</f>
        <v>0.85008534459501528</v>
      </c>
      <c r="AJ10">
        <f>Y10/P10</f>
        <v>0.8348633967667628</v>
      </c>
    </row>
    <row r="11" spans="1:36" x14ac:dyDescent="0.25">
      <c r="A11" s="9">
        <v>43123</v>
      </c>
      <c r="B11" t="s">
        <v>404</v>
      </c>
      <c r="C11">
        <v>2</v>
      </c>
      <c r="D11">
        <v>-79.150000000000006</v>
      </c>
      <c r="E11">
        <v>0.20388185977935799</v>
      </c>
      <c r="H11">
        <v>9.6760300000000008</v>
      </c>
      <c r="K11">
        <f t="shared" si="12"/>
        <v>10.724921045160919</v>
      </c>
      <c r="L11">
        <f t="shared" ref="L11:L15" si="13">K11/E11</f>
        <v>52.603606111732958</v>
      </c>
      <c r="P11">
        <v>9.4199599999999997</v>
      </c>
      <c r="Q11">
        <v>10.4184</v>
      </c>
      <c r="R11">
        <v>10.001799999999999</v>
      </c>
      <c r="S11">
        <v>9.6737099999999998</v>
      </c>
      <c r="T11">
        <v>8.6271400000000007</v>
      </c>
      <c r="U11">
        <v>8.7639999999999993</v>
      </c>
      <c r="V11">
        <v>8.9662100000000002</v>
      </c>
      <c r="W11">
        <v>8.3744399999999999</v>
      </c>
      <c r="X11">
        <v>7.7467100000000002</v>
      </c>
      <c r="Y11">
        <v>7.2312500000000002</v>
      </c>
      <c r="AA11">
        <f t="shared" ref="AA11:AA15" si="14">P11/P11</f>
        <v>1</v>
      </c>
      <c r="AB11">
        <f t="shared" ref="AB11:AB15" si="15">Q11/P11</f>
        <v>1.1059919575030044</v>
      </c>
      <c r="AC11">
        <f t="shared" ref="AC11:AC15" si="16">R11/P11</f>
        <v>1.061766716631493</v>
      </c>
      <c r="AD11">
        <f t="shared" ref="AD11:AD15" si="17">S11/P11</f>
        <v>1.0269374816878203</v>
      </c>
      <c r="AE11">
        <f t="shared" ref="AE11:AE15" si="18">T11/P11</f>
        <v>0.91583616066310269</v>
      </c>
      <c r="AF11">
        <f t="shared" ref="AF11:AF15" si="19">U11/P11</f>
        <v>0.93036488477658075</v>
      </c>
      <c r="AG11">
        <f t="shared" ref="AG11:AG15" si="20">V11/P11</f>
        <v>0.95183100565182877</v>
      </c>
      <c r="AH11">
        <f t="shared" ref="AH11:AH15" si="21">W11/P11</f>
        <v>0.88901014441674908</v>
      </c>
      <c r="AI11">
        <f t="shared" ref="AI11:AI15" si="22">X11/P11</f>
        <v>0.82237185720533845</v>
      </c>
      <c r="AJ11">
        <f t="shared" ref="AJ11:AJ15" si="23">Y11/P11</f>
        <v>0.76765187962581583</v>
      </c>
    </row>
    <row r="12" spans="1:36" x14ac:dyDescent="0.25">
      <c r="A12" s="9">
        <v>43123</v>
      </c>
      <c r="B12" t="s">
        <v>405</v>
      </c>
      <c r="C12">
        <v>3</v>
      </c>
      <c r="D12">
        <v>-76.56</v>
      </c>
      <c r="E12">
        <v>0.13352318108081801</v>
      </c>
      <c r="H12">
        <v>5.06419</v>
      </c>
      <c r="K12">
        <f t="shared" si="12"/>
        <v>5.3471468175768493</v>
      </c>
      <c r="L12">
        <f t="shared" si="13"/>
        <v>40.046580483581828</v>
      </c>
      <c r="P12" s="21">
        <v>4.6024900000000004</v>
      </c>
      <c r="Q12" s="21">
        <v>5.3884999999999996</v>
      </c>
      <c r="R12" s="21">
        <v>5.6021999999999998</v>
      </c>
      <c r="S12" s="21">
        <v>5.7797499999999999</v>
      </c>
      <c r="T12" s="21">
        <v>5.7863199999999999</v>
      </c>
      <c r="U12" s="21">
        <v>5.91873</v>
      </c>
      <c r="V12" s="21">
        <v>0.111343</v>
      </c>
      <c r="W12" s="21">
        <v>7.14645E-2</v>
      </c>
      <c r="X12" s="21">
        <v>7.4523900000000004E-2</v>
      </c>
      <c r="Y12" s="21">
        <v>7.2784399999999999E-2</v>
      </c>
      <c r="AA12" s="21">
        <f t="shared" si="14"/>
        <v>1</v>
      </c>
      <c r="AB12" s="21">
        <f t="shared" si="15"/>
        <v>1.1707792955552319</v>
      </c>
      <c r="AC12" s="21">
        <f t="shared" si="16"/>
        <v>1.2172106837820396</v>
      </c>
      <c r="AD12" s="21">
        <f t="shared" si="17"/>
        <v>1.2557876280013645</v>
      </c>
      <c r="AE12" s="21">
        <f t="shared" si="18"/>
        <v>1.25721511616538</v>
      </c>
      <c r="AF12" s="21">
        <f t="shared" si="19"/>
        <v>1.2859843258757759</v>
      </c>
      <c r="AG12" s="21">
        <f t="shared" si="20"/>
        <v>2.4191904816740502E-2</v>
      </c>
      <c r="AH12" s="21">
        <f t="shared" si="21"/>
        <v>1.5527355844336434E-2</v>
      </c>
      <c r="AI12" s="21">
        <f t="shared" si="22"/>
        <v>1.6192082981168889E-2</v>
      </c>
      <c r="AJ12" s="21">
        <f t="shared" si="23"/>
        <v>1.5814135391929149E-2</v>
      </c>
    </row>
    <row r="13" spans="1:36" x14ac:dyDescent="0.25">
      <c r="A13" s="9">
        <v>43123</v>
      </c>
      <c r="B13" t="s">
        <v>406</v>
      </c>
      <c r="C13">
        <v>4</v>
      </c>
      <c r="D13">
        <v>-78.03</v>
      </c>
      <c r="E13">
        <v>0.113972157239914</v>
      </c>
      <c r="H13">
        <v>5.4374000000000002</v>
      </c>
      <c r="K13">
        <f t="shared" si="12"/>
        <v>5.7584128844594087</v>
      </c>
      <c r="L13">
        <f t="shared" si="13"/>
        <v>50.524733618385568</v>
      </c>
      <c r="P13" s="21">
        <v>5.5567599999999997</v>
      </c>
      <c r="Q13" s="21">
        <v>6.2419099999999998</v>
      </c>
      <c r="R13" s="21">
        <v>7.8272500000000003</v>
      </c>
      <c r="S13" s="21">
        <v>0.15521199999999999</v>
      </c>
      <c r="T13" s="21">
        <v>0.19711300000000001</v>
      </c>
      <c r="U13" s="21">
        <v>3.5484300000000003E-2</v>
      </c>
      <c r="V13" s="21">
        <v>1.2901299999999999E-2</v>
      </c>
      <c r="W13" s="21">
        <v>0.14532500000000001</v>
      </c>
      <c r="X13" s="21">
        <v>0.120781</v>
      </c>
      <c r="Y13" s="21">
        <v>0.10881</v>
      </c>
      <c r="AA13" s="21">
        <f t="shared" si="14"/>
        <v>1</v>
      </c>
      <c r="AB13" s="21">
        <f t="shared" si="15"/>
        <v>1.1233002685017888</v>
      </c>
      <c r="AC13" s="21">
        <f t="shared" si="16"/>
        <v>1.4085996156033374</v>
      </c>
      <c r="AD13" s="21">
        <f t="shared" si="17"/>
        <v>2.793210431978347E-2</v>
      </c>
      <c r="AE13" s="21">
        <f t="shared" si="18"/>
        <v>3.5472649529581991E-2</v>
      </c>
      <c r="AF13" s="21">
        <f t="shared" si="19"/>
        <v>6.3857895608232145E-3</v>
      </c>
      <c r="AG13" s="21">
        <f t="shared" si="20"/>
        <v>2.321730648795341E-3</v>
      </c>
      <c r="AH13" s="21">
        <f t="shared" si="21"/>
        <v>2.6152830066441597E-2</v>
      </c>
      <c r="AI13" s="21">
        <f t="shared" si="22"/>
        <v>2.1735867663890469E-2</v>
      </c>
      <c r="AJ13" s="21">
        <f t="shared" si="23"/>
        <v>1.9581554718936935E-2</v>
      </c>
    </row>
    <row r="14" spans="1:36" x14ac:dyDescent="0.25">
      <c r="A14" s="9">
        <v>43123</v>
      </c>
      <c r="B14" t="s">
        <v>407</v>
      </c>
      <c r="C14">
        <v>5</v>
      </c>
      <c r="D14">
        <v>-89.5</v>
      </c>
      <c r="E14">
        <v>0.170589134097099</v>
      </c>
      <c r="H14">
        <v>11.082800000000001</v>
      </c>
      <c r="K14">
        <f t="shared" si="12"/>
        <v>12.301430567047849</v>
      </c>
      <c r="L14">
        <f t="shared" si="13"/>
        <v>72.111454414475773</v>
      </c>
      <c r="P14">
        <v>11.843400000000001</v>
      </c>
      <c r="Q14">
        <v>12.4191</v>
      </c>
      <c r="R14">
        <v>11.6007</v>
      </c>
      <c r="S14">
        <v>13.456300000000001</v>
      </c>
      <c r="T14">
        <v>10.714700000000001</v>
      </c>
      <c r="U14">
        <v>12.6435</v>
      </c>
      <c r="V14">
        <v>12.097799999999999</v>
      </c>
      <c r="W14">
        <v>12.485799999999999</v>
      </c>
      <c r="X14">
        <v>8.9330599999999993</v>
      </c>
      <c r="Y14">
        <v>11.2422</v>
      </c>
      <c r="AA14">
        <f t="shared" si="14"/>
        <v>1</v>
      </c>
      <c r="AB14">
        <f t="shared" si="15"/>
        <v>1.0486093520441764</v>
      </c>
      <c r="AC14">
        <f t="shared" si="16"/>
        <v>0.97950757383859355</v>
      </c>
      <c r="AD14">
        <f t="shared" si="17"/>
        <v>1.1361855548237836</v>
      </c>
      <c r="AE14">
        <f t="shared" si="18"/>
        <v>0.90469797524359552</v>
      </c>
      <c r="AF14">
        <f t="shared" si="19"/>
        <v>1.0675566138102233</v>
      </c>
      <c r="AG14">
        <f t="shared" si="20"/>
        <v>1.0214803181518819</v>
      </c>
      <c r="AH14">
        <f t="shared" si="21"/>
        <v>1.0542411807420164</v>
      </c>
      <c r="AI14">
        <f t="shared" si="22"/>
        <v>0.75426482260161765</v>
      </c>
      <c r="AJ14">
        <f t="shared" si="23"/>
        <v>0.94923755002786359</v>
      </c>
    </row>
    <row r="15" spans="1:36" x14ac:dyDescent="0.25">
      <c r="A15" s="9">
        <v>43123</v>
      </c>
      <c r="B15" t="s">
        <v>408</v>
      </c>
      <c r="C15">
        <v>6</v>
      </c>
      <c r="D15">
        <v>-91.23</v>
      </c>
      <c r="E15">
        <v>0.18002277612686199</v>
      </c>
      <c r="H15">
        <v>9.5805500000000006</v>
      </c>
      <c r="K15">
        <f t="shared" si="12"/>
        <v>10.459255900397245</v>
      </c>
      <c r="L15">
        <f t="shared" si="13"/>
        <v>58.099625644183</v>
      </c>
      <c r="P15">
        <v>9.9414400000000001</v>
      </c>
      <c r="Q15">
        <v>11.9626</v>
      </c>
      <c r="R15">
        <v>10.7035</v>
      </c>
      <c r="S15">
        <v>10.978999999999999</v>
      </c>
      <c r="T15">
        <v>10.685700000000001</v>
      </c>
      <c r="U15">
        <v>10.630800000000001</v>
      </c>
      <c r="V15">
        <v>10.762600000000001</v>
      </c>
      <c r="W15">
        <v>9.7190100000000008</v>
      </c>
      <c r="X15">
        <v>9.4423999999999992</v>
      </c>
      <c r="Y15">
        <v>9.1716599999999993</v>
      </c>
      <c r="AA15">
        <f t="shared" si="14"/>
        <v>1</v>
      </c>
      <c r="AB15">
        <f t="shared" si="15"/>
        <v>1.2033065632343001</v>
      </c>
      <c r="AC15">
        <f t="shared" si="16"/>
        <v>1.0766548910419416</v>
      </c>
      <c r="AD15">
        <f t="shared" si="17"/>
        <v>1.104367174171951</v>
      </c>
      <c r="AE15">
        <f t="shared" si="18"/>
        <v>1.0748644059613095</v>
      </c>
      <c r="AF15">
        <f t="shared" si="19"/>
        <v>1.0693420671452023</v>
      </c>
      <c r="AG15">
        <f t="shared" si="20"/>
        <v>1.0825997038658384</v>
      </c>
      <c r="AH15">
        <f t="shared" si="21"/>
        <v>0.97762597772556092</v>
      </c>
      <c r="AI15">
        <f t="shared" si="22"/>
        <v>0.94980204075063568</v>
      </c>
      <c r="AJ15">
        <f t="shared" si="23"/>
        <v>0.92256856149612121</v>
      </c>
    </row>
    <row r="17" spans="5:12" x14ac:dyDescent="0.25">
      <c r="E17">
        <f>AVERAGE(E2:E8)</f>
        <v>0.19526848571428573</v>
      </c>
      <c r="K17">
        <f>AVERAGE(K2:K8)</f>
        <v>9.6027934905587351</v>
      </c>
      <c r="L17">
        <f>AVERAGE(L2:L8)</f>
        <v>52.019614480448645</v>
      </c>
    </row>
    <row r="19" spans="5:12" x14ac:dyDescent="0.25">
      <c r="E19">
        <f>AVERAGE(E10:E15)</f>
        <v>0.15990756203730899</v>
      </c>
      <c r="K19">
        <f>AVERAGE(K10:K15)</f>
        <v>8.7810980168544042</v>
      </c>
      <c r="L19">
        <f>AVERAGE(L10:L15)</f>
        <v>54.133295838502725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EC509-3B99-484D-9C6A-5D07855BC667}">
  <dimension ref="A1:I21"/>
  <sheetViews>
    <sheetView workbookViewId="0">
      <selection activeCell="H3" sqref="H3:H21"/>
    </sheetView>
  </sheetViews>
  <sheetFormatPr defaultRowHeight="15" x14ac:dyDescent="0.25"/>
  <cols>
    <col min="2" max="2" width="11.85546875" bestFit="1" customWidth="1"/>
  </cols>
  <sheetData>
    <row r="1" spans="1:9" x14ac:dyDescent="0.25">
      <c r="A1" s="4" t="s">
        <v>2</v>
      </c>
      <c r="B1" s="5"/>
    </row>
    <row r="2" spans="1:9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</row>
    <row r="3" spans="1:9" x14ac:dyDescent="0.25">
      <c r="A3" s="9">
        <v>42892</v>
      </c>
      <c r="B3" s="1" t="s">
        <v>409</v>
      </c>
      <c r="C3">
        <v>1</v>
      </c>
      <c r="D3">
        <v>-72.41</v>
      </c>
      <c r="E3">
        <v>0.37948399999999999</v>
      </c>
      <c r="F3">
        <v>23.291899999999998</v>
      </c>
      <c r="G3">
        <f>F3/(1-(0.8*(F3/(ABS(D3)))))</f>
        <v>31.362530217671367</v>
      </c>
      <c r="H3">
        <f t="shared" ref="H3:H21" si="0">G3/E3</f>
        <v>82.645197736060993</v>
      </c>
    </row>
    <row r="4" spans="1:9" x14ac:dyDescent="0.25">
      <c r="B4" s="1" t="s">
        <v>410</v>
      </c>
      <c r="C4">
        <v>2</v>
      </c>
      <c r="D4">
        <v>-58.89</v>
      </c>
      <c r="E4">
        <v>0.22817905247211501</v>
      </c>
      <c r="F4">
        <v>11.794715881347599</v>
      </c>
      <c r="G4">
        <f>F4/(1-(0.8*(F4/(ABS(D4)))))</f>
        <v>14.045125285455272</v>
      </c>
      <c r="H4">
        <f t="shared" si="0"/>
        <v>61.553087951277561</v>
      </c>
    </row>
    <row r="5" spans="1:9" x14ac:dyDescent="0.25">
      <c r="B5" s="1" t="s">
        <v>411</v>
      </c>
      <c r="C5">
        <v>3</v>
      </c>
      <c r="D5">
        <v>-62.2</v>
      </c>
      <c r="E5">
        <v>0.26070839166641202</v>
      </c>
      <c r="F5">
        <v>18.8372192382812</v>
      </c>
      <c r="G5">
        <f>F5/(1-(0.8*(F5/(ABS(D5)))))</f>
        <v>24.860374554379348</v>
      </c>
      <c r="H5">
        <f t="shared" si="0"/>
        <v>95.357017069819918</v>
      </c>
    </row>
    <row r="6" spans="1:9" x14ac:dyDescent="0.25">
      <c r="B6" s="1" t="s">
        <v>412</v>
      </c>
      <c r="C6">
        <v>4</v>
      </c>
      <c r="D6">
        <v>-68.91</v>
      </c>
      <c r="E6">
        <v>0.27909415960311901</v>
      </c>
      <c r="F6">
        <v>19.800205230712798</v>
      </c>
      <c r="G6">
        <f t="shared" ref="G6:G21" si="1">F6/(1-(0.8*(F6/(ABS(D6)))))</f>
        <v>25.710125563488511</v>
      </c>
      <c r="H6">
        <f t="shared" si="0"/>
        <v>92.119898173609755</v>
      </c>
    </row>
    <row r="7" spans="1:9" x14ac:dyDescent="0.25">
      <c r="B7" s="1" t="s">
        <v>413</v>
      </c>
      <c r="C7">
        <v>5</v>
      </c>
      <c r="D7">
        <v>-65.47</v>
      </c>
      <c r="E7">
        <v>0.44012647867202798</v>
      </c>
      <c r="F7">
        <v>29.408927917480401</v>
      </c>
      <c r="G7">
        <f t="shared" si="1"/>
        <v>45.905372640298303</v>
      </c>
      <c r="H7">
        <f t="shared" si="0"/>
        <v>104.30041105185566</v>
      </c>
    </row>
    <row r="8" spans="1:9" x14ac:dyDescent="0.25">
      <c r="B8" s="1" t="s">
        <v>414</v>
      </c>
      <c r="C8">
        <v>6</v>
      </c>
      <c r="D8">
        <v>-72.98</v>
      </c>
      <c r="E8">
        <v>0.24782264232635501</v>
      </c>
      <c r="F8">
        <v>28.527549743652301</v>
      </c>
      <c r="G8">
        <f t="shared" si="1"/>
        <v>41.50768037175807</v>
      </c>
      <c r="H8">
        <f t="shared" si="0"/>
        <v>167.48945932509687</v>
      </c>
    </row>
    <row r="9" spans="1:9" x14ac:dyDescent="0.25">
      <c r="B9" s="1" t="s">
        <v>415</v>
      </c>
      <c r="C9">
        <v>7</v>
      </c>
      <c r="D9">
        <v>-66.86</v>
      </c>
      <c r="E9">
        <v>0.15889473259449</v>
      </c>
      <c r="F9">
        <v>15.3434524536132</v>
      </c>
      <c r="G9">
        <f t="shared" si="1"/>
        <v>18.793785058721401</v>
      </c>
      <c r="H9">
        <f t="shared" si="0"/>
        <v>118.27821320348232</v>
      </c>
    </row>
    <row r="10" spans="1:9" x14ac:dyDescent="0.25">
      <c r="B10" s="1" t="s">
        <v>416</v>
      </c>
      <c r="C10">
        <v>8</v>
      </c>
      <c r="D10">
        <v>-73.72</v>
      </c>
      <c r="E10">
        <v>0.29610049724578902</v>
      </c>
      <c r="F10">
        <v>22.458786010742099</v>
      </c>
      <c r="G10">
        <f t="shared" si="1"/>
        <v>29.696385131257522</v>
      </c>
      <c r="H10">
        <f t="shared" si="0"/>
        <v>100.29157467644154</v>
      </c>
    </row>
    <row r="11" spans="1:9" x14ac:dyDescent="0.25">
      <c r="B11" s="1" t="s">
        <v>417</v>
      </c>
      <c r="C11">
        <v>9</v>
      </c>
      <c r="D11">
        <v>-68.540000000000006</v>
      </c>
      <c r="E11">
        <v>0.18905445933341999</v>
      </c>
      <c r="F11">
        <v>14.0299072265625</v>
      </c>
      <c r="G11">
        <f t="shared" si="1"/>
        <v>16.777315167095292</v>
      </c>
      <c r="H11">
        <f t="shared" si="0"/>
        <v>88.74329241558118</v>
      </c>
    </row>
    <row r="12" spans="1:9" x14ac:dyDescent="0.25">
      <c r="B12" s="1" t="s">
        <v>418</v>
      </c>
      <c r="C12">
        <v>10</v>
      </c>
      <c r="D12">
        <v>-63.71</v>
      </c>
      <c r="E12">
        <v>0.13108570873737299</v>
      </c>
      <c r="F12">
        <v>4.6125259399414</v>
      </c>
      <c r="G12">
        <f t="shared" si="1"/>
        <v>4.8961034528053302</v>
      </c>
      <c r="H12">
        <f t="shared" si="0"/>
        <v>37.350398452775302</v>
      </c>
    </row>
    <row r="13" spans="1:9" x14ac:dyDescent="0.25">
      <c r="B13" s="1" t="s">
        <v>419</v>
      </c>
      <c r="C13">
        <v>11</v>
      </c>
      <c r="D13">
        <v>-55</v>
      </c>
      <c r="E13">
        <v>0.24177008867263799</v>
      </c>
      <c r="F13">
        <v>10.9061164855957</v>
      </c>
      <c r="G13">
        <f t="shared" si="1"/>
        <v>12.96239918258583</v>
      </c>
      <c r="H13">
        <f t="shared" si="0"/>
        <v>53.614569336313572</v>
      </c>
    </row>
    <row r="14" spans="1:9" x14ac:dyDescent="0.25">
      <c r="B14" s="1" t="s">
        <v>420</v>
      </c>
      <c r="C14">
        <v>12</v>
      </c>
      <c r="D14">
        <v>-66.16</v>
      </c>
      <c r="E14">
        <v>0.27988728880882302</v>
      </c>
      <c r="F14">
        <v>13.7494087219238</v>
      </c>
      <c r="G14">
        <f t="shared" si="1"/>
        <v>16.491172595131136</v>
      </c>
      <c r="H14">
        <f t="shared" si="0"/>
        <v>58.920762944670308</v>
      </c>
    </row>
    <row r="15" spans="1:9" x14ac:dyDescent="0.25">
      <c r="A15" s="9"/>
      <c r="B15" s="1" t="s">
        <v>421</v>
      </c>
      <c r="C15">
        <v>13</v>
      </c>
      <c r="D15">
        <v>-70.05</v>
      </c>
      <c r="E15">
        <v>0.23307855427265201</v>
      </c>
      <c r="F15">
        <v>15.792930603027299</v>
      </c>
      <c r="G15">
        <f t="shared" si="1"/>
        <v>19.268173092674406</v>
      </c>
      <c r="H15">
        <f t="shared" si="0"/>
        <v>82.668150885022087</v>
      </c>
    </row>
    <row r="16" spans="1:9" x14ac:dyDescent="0.25">
      <c r="B16" s="1" t="s">
        <v>422</v>
      </c>
      <c r="C16">
        <v>14</v>
      </c>
      <c r="D16">
        <v>-47.1</v>
      </c>
      <c r="E16">
        <v>0.163287788629532</v>
      </c>
      <c r="F16">
        <v>14.3994369506835</v>
      </c>
      <c r="G16">
        <f t="shared" si="1"/>
        <v>19.061407936116495</v>
      </c>
      <c r="H16">
        <f t="shared" si="0"/>
        <v>116.73504856730649</v>
      </c>
    </row>
    <row r="17" spans="2:8" x14ac:dyDescent="0.25">
      <c r="B17" s="1" t="s">
        <v>423</v>
      </c>
      <c r="C17">
        <v>15</v>
      </c>
      <c r="D17">
        <v>-43.39</v>
      </c>
      <c r="E17">
        <v>0.19517539441585499</v>
      </c>
      <c r="F17">
        <v>10.900390625</v>
      </c>
      <c r="G17">
        <f t="shared" si="1"/>
        <v>13.642117461218824</v>
      </c>
      <c r="H17">
        <f t="shared" si="0"/>
        <v>69.896707533491281</v>
      </c>
    </row>
    <row r="18" spans="2:8" x14ac:dyDescent="0.25">
      <c r="B18" s="1" t="s">
        <v>424</v>
      </c>
      <c r="C18">
        <v>16</v>
      </c>
      <c r="D18">
        <v>-68.37</v>
      </c>
      <c r="E18">
        <v>0.22645874321460699</v>
      </c>
      <c r="F18">
        <v>19.393070220947202</v>
      </c>
      <c r="G18">
        <f t="shared" si="1"/>
        <v>25.085433146619494</v>
      </c>
      <c r="H18">
        <f t="shared" si="0"/>
        <v>110.77264136738104</v>
      </c>
    </row>
    <row r="19" spans="2:8" x14ac:dyDescent="0.25">
      <c r="B19" s="1" t="s">
        <v>425</v>
      </c>
      <c r="C19">
        <v>17</v>
      </c>
      <c r="D19">
        <v>-66.13</v>
      </c>
      <c r="E19">
        <v>0.343669563531876</v>
      </c>
      <c r="F19">
        <v>21.3444099426269</v>
      </c>
      <c r="G19">
        <f t="shared" si="1"/>
        <v>28.774253816965405</v>
      </c>
      <c r="H19">
        <f t="shared" si="0"/>
        <v>83.726511947272101</v>
      </c>
    </row>
    <row r="20" spans="2:8" x14ac:dyDescent="0.25">
      <c r="B20" s="1" t="s">
        <v>426</v>
      </c>
      <c r="C20">
        <v>18</v>
      </c>
      <c r="D20">
        <v>-71</v>
      </c>
      <c r="E20">
        <v>0.282642</v>
      </c>
      <c r="F20">
        <v>20.845099999999999</v>
      </c>
      <c r="G20">
        <f t="shared" si="1"/>
        <v>27.244022522675092</v>
      </c>
      <c r="H20">
        <f t="shared" si="0"/>
        <v>96.390566591925804</v>
      </c>
    </row>
    <row r="21" spans="2:8" x14ac:dyDescent="0.25">
      <c r="B21" s="1" t="s">
        <v>427</v>
      </c>
      <c r="C21">
        <v>19</v>
      </c>
      <c r="D21">
        <v>-67.38</v>
      </c>
      <c r="E21">
        <v>0.29311599999999999</v>
      </c>
      <c r="F21">
        <v>21.650500000000001</v>
      </c>
      <c r="G21">
        <f t="shared" si="1"/>
        <v>29.141477159226206</v>
      </c>
      <c r="H21">
        <f t="shared" si="0"/>
        <v>99.419605750713728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4448-F831-4372-BACD-DE34091507A4}">
  <dimension ref="A1:AJ34"/>
  <sheetViews>
    <sheetView topLeftCell="K1" workbookViewId="0">
      <selection activeCell="AA1" sqref="AA1"/>
    </sheetView>
  </sheetViews>
  <sheetFormatPr defaultRowHeight="15" x14ac:dyDescent="0.25"/>
  <cols>
    <col min="1" max="1" width="9.85546875" bestFit="1" customWidth="1"/>
    <col min="2" max="2" width="14.85546875" bestFit="1" customWidth="1"/>
    <col min="11" max="11" width="24" customWidth="1"/>
  </cols>
  <sheetData>
    <row r="1" spans="1:36" x14ac:dyDescent="0.25">
      <c r="A1" t="s">
        <v>2</v>
      </c>
      <c r="P1" t="s">
        <v>470</v>
      </c>
      <c r="AA1" t="s">
        <v>471</v>
      </c>
    </row>
    <row r="2" spans="1:36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596</v>
      </c>
      <c r="G2" t="s">
        <v>553</v>
      </c>
      <c r="H2" t="s">
        <v>8</v>
      </c>
      <c r="I2" t="s">
        <v>596</v>
      </c>
      <c r="J2" t="s">
        <v>553</v>
      </c>
      <c r="K2" t="s">
        <v>9</v>
      </c>
      <c r="L2" t="s">
        <v>10</v>
      </c>
      <c r="M2" t="s">
        <v>11</v>
      </c>
      <c r="N2" t="s">
        <v>110</v>
      </c>
      <c r="P2" t="s">
        <v>395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AA2" t="s">
        <v>395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</row>
    <row r="3" spans="1:36" s="30" customFormat="1" x14ac:dyDescent="0.25">
      <c r="A3" s="30" t="s">
        <v>887</v>
      </c>
      <c r="B3" s="30" t="s">
        <v>897</v>
      </c>
      <c r="C3" s="30">
        <v>1</v>
      </c>
      <c r="D3" s="30">
        <v>-71.010000000000005</v>
      </c>
      <c r="E3" s="30">
        <v>0.26882600784301802</v>
      </c>
      <c r="F3" s="30">
        <v>0.72958129644393899</v>
      </c>
      <c r="G3" s="30">
        <v>3.3267006874084402</v>
      </c>
      <c r="H3" s="30">
        <v>21.3103218078613</v>
      </c>
      <c r="I3" s="30">
        <v>0.91162270307540905</v>
      </c>
      <c r="J3" s="30">
        <v>4.0935139656066903</v>
      </c>
      <c r="K3" s="30">
        <f>H3/(1-(0.8*(H3/(ABS(D3)))))</f>
        <v>28.042940794026762</v>
      </c>
      <c r="L3" s="30">
        <f>K3/E3</f>
        <v>104.31632348013942</v>
      </c>
      <c r="P3" s="30">
        <v>22.0055427551269</v>
      </c>
      <c r="Q3" s="30">
        <v>21.762840270996001</v>
      </c>
      <c r="R3" s="30">
        <v>22.250400543212798</v>
      </c>
      <c r="S3" s="30">
        <v>21.800228118896399</v>
      </c>
      <c r="T3" s="30">
        <v>20.378761291503899</v>
      </c>
      <c r="U3" s="30">
        <v>20.058708190917901</v>
      </c>
      <c r="V3" s="30">
        <v>18.5172119140625</v>
      </c>
      <c r="W3" s="30">
        <v>17.175998687744102</v>
      </c>
      <c r="X3" s="30">
        <v>18.119140625</v>
      </c>
      <c r="Y3" s="30">
        <v>17.395778656005799</v>
      </c>
      <c r="AA3" s="30">
        <f>P3/P3</f>
        <v>1</v>
      </c>
      <c r="AB3" s="30">
        <f>Q3/P3</f>
        <v>0.98897084762545318</v>
      </c>
      <c r="AC3" s="30">
        <f>R3/P3</f>
        <v>1.0111270960598711</v>
      </c>
      <c r="AD3" s="30">
        <f>S3/P3</f>
        <v>0.99066986720049588</v>
      </c>
      <c r="AE3" s="30">
        <f>T3/P3</f>
        <v>0.92607401318270188</v>
      </c>
      <c r="AF3" s="30">
        <f>U3/P3</f>
        <v>0.91152980929064242</v>
      </c>
      <c r="AG3" s="30">
        <f>V3/P3</f>
        <v>0.84147944543418818</v>
      </c>
      <c r="AH3" s="30">
        <f>W3/P3</f>
        <v>0.78053056354369621</v>
      </c>
      <c r="AI3" s="30">
        <f>X3/P3</f>
        <v>0.82338985348491633</v>
      </c>
      <c r="AJ3" s="30">
        <f>Y3/P3</f>
        <v>0.79051804582065544</v>
      </c>
    </row>
    <row r="4" spans="1:36" s="30" customFormat="1" x14ac:dyDescent="0.25">
      <c r="B4" s="30" t="s">
        <v>898</v>
      </c>
      <c r="C4" s="30">
        <v>2</v>
      </c>
      <c r="D4" s="30">
        <v>-66.05</v>
      </c>
      <c r="E4" s="30">
        <v>0.40679451823234603</v>
      </c>
      <c r="F4" s="30">
        <v>0.98384034633636497</v>
      </c>
      <c r="G4" s="30">
        <v>4.2643742561340297</v>
      </c>
      <c r="H4" s="30">
        <v>19.609577178955</v>
      </c>
      <c r="I4" s="30">
        <v>1.1515353918075499</v>
      </c>
      <c r="J4" s="30">
        <v>4.9983921051025302</v>
      </c>
      <c r="K4" s="30">
        <f t="shared" ref="K4:K10" si="0">H4/(1-(0.8*(H4/(ABS(D4)))))</f>
        <v>25.717880017101276</v>
      </c>
      <c r="L4" s="30">
        <f t="shared" ref="L4:L10" si="1">K4/E4</f>
        <v>63.220812632514807</v>
      </c>
      <c r="P4" s="30">
        <v>19.168102264404201</v>
      </c>
      <c r="Q4" s="30">
        <v>18.373256683349599</v>
      </c>
      <c r="R4" s="30">
        <v>18.2443313598632</v>
      </c>
      <c r="S4" s="30">
        <v>18.5071716308593</v>
      </c>
      <c r="T4" s="30">
        <v>16.806011199951101</v>
      </c>
      <c r="U4" s="30">
        <v>17.033988952636701</v>
      </c>
      <c r="V4" s="30">
        <v>15.7427444458007</v>
      </c>
      <c r="W4" s="30">
        <v>14.894142150878899</v>
      </c>
      <c r="X4" s="30">
        <v>13.9852600097656</v>
      </c>
      <c r="Y4" s="30">
        <v>14.672660827636699</v>
      </c>
      <c r="AA4" s="30">
        <f t="shared" ref="AA4:AA13" si="2">P4/P4</f>
        <v>1</v>
      </c>
      <c r="AB4" s="30">
        <f t="shared" ref="AB4:AB13" si="3">Q4/P4</f>
        <v>0.95853290168789129</v>
      </c>
      <c r="AC4" s="30">
        <f t="shared" ref="AC4:AC13" si="4">R4/P4</f>
        <v>0.95180686685627325</v>
      </c>
      <c r="AD4" s="30">
        <f t="shared" ref="AD4:AD13" si="5">S4/P4</f>
        <v>0.96551924523210253</v>
      </c>
      <c r="AE4" s="30">
        <f t="shared" ref="AE4:AE13" si="6">T4/P4</f>
        <v>0.87676969624480872</v>
      </c>
      <c r="AF4" s="30">
        <f t="shared" ref="AF4:AF13" si="7">U4/P4</f>
        <v>0.88866329684965117</v>
      </c>
      <c r="AG4" s="30">
        <f t="shared" ref="AG4:AG13" si="8">V4/P4</f>
        <v>0.82129906386379714</v>
      </c>
      <c r="AH4" s="30">
        <f t="shared" ref="AH4:AH13" si="9">W4/P4</f>
        <v>0.77702747749514112</v>
      </c>
      <c r="AI4" s="30">
        <f t="shared" ref="AI4:AI13" si="10">X4/P4</f>
        <v>0.72961109122089196</v>
      </c>
      <c r="AJ4" s="30">
        <f t="shared" ref="AJ4:AJ13" si="11">Y4/P4</f>
        <v>0.76547279564990189</v>
      </c>
    </row>
    <row r="5" spans="1:36" s="30" customFormat="1" x14ac:dyDescent="0.25">
      <c r="B5" s="30" t="s">
        <v>899</v>
      </c>
      <c r="C5" s="30">
        <v>3</v>
      </c>
      <c r="D5" s="30">
        <v>-59.81</v>
      </c>
      <c r="E5" s="30">
        <v>0.28709918260574302</v>
      </c>
      <c r="F5" s="30">
        <v>0.76711601018905595</v>
      </c>
      <c r="G5" s="30">
        <v>4.1560578346252397</v>
      </c>
      <c r="H5" s="30">
        <v>17.937644958496001</v>
      </c>
      <c r="I5" s="30">
        <v>0.84815442562103305</v>
      </c>
      <c r="J5" s="30">
        <v>3.9268085956573402</v>
      </c>
      <c r="K5" s="30">
        <f t="shared" si="0"/>
        <v>23.599940206271807</v>
      </c>
      <c r="L5" s="30">
        <f t="shared" si="1"/>
        <v>82.20134934581219</v>
      </c>
      <c r="P5" s="30">
        <v>16.6408882141113</v>
      </c>
      <c r="Q5" s="30">
        <v>16.695896148681602</v>
      </c>
      <c r="R5" s="30">
        <v>15.8202056884765</v>
      </c>
      <c r="S5" s="30">
        <v>16.285564422607401</v>
      </c>
      <c r="T5" s="30">
        <v>15.3419227600097</v>
      </c>
      <c r="U5" s="30">
        <v>14.7835273742675</v>
      </c>
      <c r="V5" s="30">
        <v>14.6090240478515</v>
      </c>
      <c r="W5" s="30">
        <v>14.285652160644499</v>
      </c>
      <c r="X5" s="30">
        <v>14.8812446594238</v>
      </c>
      <c r="Y5" s="30">
        <v>13.9685363769531</v>
      </c>
      <c r="AA5" s="30">
        <f t="shared" si="2"/>
        <v>1</v>
      </c>
      <c r="AB5" s="30">
        <f t="shared" si="3"/>
        <v>1.0033055888521416</v>
      </c>
      <c r="AC5" s="30">
        <f t="shared" si="4"/>
        <v>0.95068276914817151</v>
      </c>
      <c r="AD5" s="30">
        <f t="shared" si="5"/>
        <v>0.9786475465172233</v>
      </c>
      <c r="AE5" s="30">
        <f t="shared" si="6"/>
        <v>0.9219413388643467</v>
      </c>
      <c r="AF5" s="30">
        <f t="shared" si="7"/>
        <v>0.88838571499634389</v>
      </c>
      <c r="AG5" s="30">
        <f t="shared" si="8"/>
        <v>0.87789929599209737</v>
      </c>
      <c r="AH5" s="30">
        <f t="shared" si="9"/>
        <v>0.85846692657489376</v>
      </c>
      <c r="AI5" s="30">
        <f t="shared" si="10"/>
        <v>0.89425783455504848</v>
      </c>
      <c r="AJ5" s="30">
        <f t="shared" si="11"/>
        <v>0.83941050484961055</v>
      </c>
    </row>
    <row r="6" spans="1:36" s="30" customFormat="1" x14ac:dyDescent="0.25">
      <c r="B6" s="30" t="s">
        <v>900</v>
      </c>
      <c r="C6" s="30">
        <v>4</v>
      </c>
      <c r="D6" s="30">
        <v>-57.4</v>
      </c>
      <c r="E6" s="30">
        <v>0.20603264868259399</v>
      </c>
      <c r="F6" s="30">
        <v>0.87620306015014604</v>
      </c>
      <c r="G6" s="30">
        <v>3.3767240047454798</v>
      </c>
      <c r="H6" s="30">
        <v>11.9954071044921</v>
      </c>
      <c r="I6" s="30">
        <v>0.90431457757949796</v>
      </c>
      <c r="J6" s="30">
        <v>3.8958940505981401</v>
      </c>
      <c r="K6" s="30">
        <f t="shared" si="0"/>
        <v>14.403419353092266</v>
      </c>
      <c r="L6" s="30">
        <f t="shared" si="1"/>
        <v>69.908431722787881</v>
      </c>
      <c r="P6" s="30">
        <v>12.0196685791015</v>
      </c>
      <c r="Q6" s="30">
        <v>12.940040588378899</v>
      </c>
      <c r="R6" s="30">
        <v>12.046062469482401</v>
      </c>
      <c r="S6" s="30">
        <v>11.949596405029199</v>
      </c>
      <c r="T6" s="30">
        <v>11.570152282714799</v>
      </c>
      <c r="U6" s="30">
        <v>11.2933807373046</v>
      </c>
      <c r="V6" s="30">
        <v>9.9649009704589808</v>
      </c>
      <c r="W6" s="30">
        <v>8.8859481811523402</v>
      </c>
      <c r="X6" s="30">
        <v>10.185935974121</v>
      </c>
      <c r="Y6" s="30">
        <v>9.5432472229003906</v>
      </c>
      <c r="AA6" s="30">
        <f t="shared" si="2"/>
        <v>1</v>
      </c>
      <c r="AB6" s="30">
        <f t="shared" si="3"/>
        <v>1.0765721619710582</v>
      </c>
      <c r="AC6" s="30">
        <f t="shared" si="4"/>
        <v>1.0021958916926206</v>
      </c>
      <c r="AD6" s="30">
        <f t="shared" si="5"/>
        <v>0.99417020747193185</v>
      </c>
      <c r="AE6" s="30">
        <f t="shared" si="6"/>
        <v>0.96260160640633041</v>
      </c>
      <c r="AF6" s="30">
        <f t="shared" si="7"/>
        <v>0.93957505258841412</v>
      </c>
      <c r="AG6" s="30">
        <f t="shared" si="8"/>
        <v>0.82904956196420199</v>
      </c>
      <c r="AH6" s="30">
        <f t="shared" si="9"/>
        <v>0.73928395967608174</v>
      </c>
      <c r="AI6" s="30">
        <f t="shared" si="10"/>
        <v>0.84743900441907383</v>
      </c>
      <c r="AJ6" s="30">
        <f t="shared" si="11"/>
        <v>0.79396924799516988</v>
      </c>
    </row>
    <row r="7" spans="1:36" s="30" customFormat="1" x14ac:dyDescent="0.25">
      <c r="B7" s="30" t="s">
        <v>901</v>
      </c>
      <c r="C7" s="30">
        <v>6</v>
      </c>
      <c r="D7" s="30">
        <v>-73.53</v>
      </c>
      <c r="E7" s="30">
        <v>0.27307528257370001</v>
      </c>
      <c r="F7" s="30">
        <v>0.88964062929153398</v>
      </c>
      <c r="G7" s="30">
        <v>3.7527804374694802</v>
      </c>
      <c r="H7" s="30">
        <v>15.6822967529296</v>
      </c>
      <c r="I7" s="30">
        <v>0.82576709985732999</v>
      </c>
      <c r="J7" s="30">
        <v>3.7690873146057098</v>
      </c>
      <c r="K7" s="30">
        <f t="shared" si="0"/>
        <v>18.908503964392043</v>
      </c>
      <c r="L7" s="30">
        <f t="shared" si="1"/>
        <v>69.242824858338636</v>
      </c>
      <c r="P7" s="30">
        <v>14.900444030761699</v>
      </c>
      <c r="Q7" s="30">
        <v>15.320426940917899</v>
      </c>
      <c r="R7" s="30">
        <v>16.286148071288999</v>
      </c>
      <c r="S7" s="30">
        <v>14.4270515441894</v>
      </c>
      <c r="T7" s="30">
        <v>14.39595413208</v>
      </c>
      <c r="U7" s="30">
        <v>14.4620666503906</v>
      </c>
      <c r="V7" s="30">
        <v>14.2296600341796</v>
      </c>
      <c r="W7" s="30">
        <v>12.0164031982421</v>
      </c>
      <c r="X7" s="30">
        <v>12.4560737609863</v>
      </c>
      <c r="Y7" s="30">
        <v>11.925731658935501</v>
      </c>
      <c r="AA7" s="30">
        <f t="shared" si="2"/>
        <v>1</v>
      </c>
      <c r="AB7" s="30">
        <f t="shared" si="3"/>
        <v>1.0281859325325575</v>
      </c>
      <c r="AC7" s="30">
        <f t="shared" si="4"/>
        <v>1.0929974997836667</v>
      </c>
      <c r="AD7" s="30">
        <f t="shared" si="5"/>
        <v>0.9682296389560614</v>
      </c>
      <c r="AE7" s="30">
        <f t="shared" si="6"/>
        <v>0.96614262651232485</v>
      </c>
      <c r="AF7" s="30">
        <f t="shared" si="7"/>
        <v>0.97057957605383594</v>
      </c>
      <c r="AG7" s="30">
        <f t="shared" si="8"/>
        <v>0.95498228138723407</v>
      </c>
      <c r="AH7" s="30">
        <f t="shared" si="9"/>
        <v>0.80644598063215112</v>
      </c>
      <c r="AI7" s="30">
        <f t="shared" si="10"/>
        <v>0.83595319275526014</v>
      </c>
      <c r="AJ7" s="30">
        <f t="shared" si="11"/>
        <v>0.80036082376572415</v>
      </c>
    </row>
    <row r="8" spans="1:36" s="30" customFormat="1" x14ac:dyDescent="0.25">
      <c r="B8" s="30" t="s">
        <v>902</v>
      </c>
      <c r="C8" s="30">
        <v>7</v>
      </c>
      <c r="D8" s="30">
        <v>-65.16</v>
      </c>
      <c r="E8" s="30">
        <v>0.46664649248123202</v>
      </c>
      <c r="F8" s="30">
        <v>0.645574450492859</v>
      </c>
      <c r="G8" s="30">
        <v>3.65133476257324</v>
      </c>
      <c r="H8" s="30">
        <v>23.345561981201101</v>
      </c>
      <c r="I8" s="30">
        <v>0.71276140213012695</v>
      </c>
      <c r="J8" s="30">
        <v>3.7693679332733101</v>
      </c>
      <c r="K8" s="30">
        <f t="shared" si="0"/>
        <v>32.725486868208357</v>
      </c>
      <c r="L8" s="30">
        <f t="shared" si="1"/>
        <v>70.129074996796504</v>
      </c>
      <c r="P8" s="30">
        <v>22.406093597412099</v>
      </c>
      <c r="Q8" s="30">
        <v>22.596092224121001</v>
      </c>
      <c r="R8" s="30">
        <v>23.755809783935501</v>
      </c>
      <c r="S8" s="30">
        <v>23.183586120605401</v>
      </c>
      <c r="T8" s="30">
        <v>21.9685249328613</v>
      </c>
      <c r="U8" s="30">
        <v>20.277385711669901</v>
      </c>
      <c r="V8" s="30">
        <v>21.6243782043457</v>
      </c>
      <c r="W8" s="30">
        <v>20.173107147216701</v>
      </c>
      <c r="X8" s="30">
        <v>20.479869842529201</v>
      </c>
      <c r="Y8" s="30">
        <v>18.5742874145507</v>
      </c>
      <c r="AA8" s="30">
        <f t="shared" si="2"/>
        <v>1</v>
      </c>
      <c r="AB8" s="30">
        <f t="shared" si="3"/>
        <v>1.0084797747489034</v>
      </c>
      <c r="AC8" s="30">
        <f t="shared" si="4"/>
        <v>1.0602387998003941</v>
      </c>
      <c r="AD8" s="30">
        <f t="shared" si="5"/>
        <v>1.0347000479942252</v>
      </c>
      <c r="AE8" s="30">
        <f t="shared" si="6"/>
        <v>0.98047099720223707</v>
      </c>
      <c r="AF8" s="30">
        <f t="shared" si="7"/>
        <v>0.90499424290595376</v>
      </c>
      <c r="AG8" s="30">
        <f t="shared" si="8"/>
        <v>0.96511148229976651</v>
      </c>
      <c r="AH8" s="30">
        <f t="shared" si="9"/>
        <v>0.90034021591102753</v>
      </c>
      <c r="AI8" s="30">
        <f t="shared" si="10"/>
        <v>0.91403125464470181</v>
      </c>
      <c r="AJ8" s="30">
        <f t="shared" si="11"/>
        <v>0.82898374648832263</v>
      </c>
    </row>
    <row r="9" spans="1:36" s="30" customFormat="1" x14ac:dyDescent="0.25">
      <c r="B9" s="30" t="s">
        <v>903</v>
      </c>
      <c r="C9" s="30">
        <v>8</v>
      </c>
      <c r="D9" s="30">
        <v>-73.77</v>
      </c>
      <c r="E9" s="30">
        <v>0.28739082813262901</v>
      </c>
      <c r="F9" s="30">
        <v>0.60288470983505205</v>
      </c>
      <c r="G9" s="30">
        <v>3.39730548858642</v>
      </c>
      <c r="H9" s="30">
        <v>25.897731781005799</v>
      </c>
      <c r="I9" s="30">
        <v>0.73250687122345004</v>
      </c>
      <c r="J9" s="30">
        <v>3.7500376701354901</v>
      </c>
      <c r="K9" s="30">
        <f t="shared" si="0"/>
        <v>36.01150476722902</v>
      </c>
      <c r="L9" s="30">
        <f t="shared" si="1"/>
        <v>125.30498972851682</v>
      </c>
      <c r="P9" s="30">
        <v>24.960494995117099</v>
      </c>
      <c r="Q9" s="30">
        <v>24.786556243896399</v>
      </c>
      <c r="R9" s="30">
        <v>27.0051956176757</v>
      </c>
      <c r="S9" s="30">
        <v>25.457912445068299</v>
      </c>
      <c r="T9" s="30">
        <v>23.5201911926269</v>
      </c>
      <c r="U9" s="30">
        <v>22.567531585693299</v>
      </c>
      <c r="V9" s="30">
        <v>21.862716674804599</v>
      </c>
      <c r="W9" s="30">
        <v>20.800624847412099</v>
      </c>
      <c r="X9" s="30">
        <v>20.1806030273437</v>
      </c>
      <c r="Y9" s="30">
        <v>20.563243865966701</v>
      </c>
      <c r="AA9" s="30">
        <f t="shared" si="2"/>
        <v>1</v>
      </c>
      <c r="AB9" s="30">
        <f t="shared" si="3"/>
        <v>0.9930314382284996</v>
      </c>
      <c r="AC9" s="30">
        <f t="shared" si="4"/>
        <v>1.0819174709058692</v>
      </c>
      <c r="AD9" s="30">
        <f t="shared" si="5"/>
        <v>1.0199281885254483</v>
      </c>
      <c r="AE9" s="30">
        <f t="shared" si="6"/>
        <v>0.94229666507927989</v>
      </c>
      <c r="AF9" s="30">
        <f t="shared" si="7"/>
        <v>0.90412996978257343</v>
      </c>
      <c r="AG9" s="30">
        <f t="shared" si="8"/>
        <v>0.8758927528913788</v>
      </c>
      <c r="AH9" s="30">
        <f t="shared" si="9"/>
        <v>0.83334184083613827</v>
      </c>
      <c r="AI9" s="30">
        <f t="shared" si="10"/>
        <v>0.80850171566275164</v>
      </c>
      <c r="AJ9" s="30">
        <f t="shared" si="11"/>
        <v>0.82383157345194435</v>
      </c>
    </row>
    <row r="10" spans="1:36" s="30" customFormat="1" x14ac:dyDescent="0.25">
      <c r="B10" s="30" t="s">
        <v>905</v>
      </c>
      <c r="C10" s="30">
        <v>9</v>
      </c>
      <c r="D10" s="30">
        <v>-77.25</v>
      </c>
      <c r="E10" s="30">
        <v>0.83019161224365201</v>
      </c>
      <c r="F10" s="30">
        <v>0.80286872386932395</v>
      </c>
      <c r="G10" s="30">
        <v>5.3957834243774396</v>
      </c>
      <c r="H10" s="30">
        <v>31.981254577636701</v>
      </c>
      <c r="I10" s="30">
        <v>0.92628252506256104</v>
      </c>
      <c r="J10" s="30">
        <v>6.2336673736572203</v>
      </c>
      <c r="K10" s="30">
        <f t="shared" si="0"/>
        <v>47.818679787857739</v>
      </c>
      <c r="L10" s="30">
        <f t="shared" si="1"/>
        <v>57.599569885588643</v>
      </c>
      <c r="P10" s="30">
        <v>32.627292633056598</v>
      </c>
      <c r="Q10" s="30">
        <v>33.605247497558501</v>
      </c>
      <c r="R10" s="30">
        <v>33.215076446533203</v>
      </c>
      <c r="S10" s="30">
        <v>30.930007934570298</v>
      </c>
      <c r="T10" s="30">
        <v>29.154209136962798</v>
      </c>
      <c r="U10" s="30">
        <v>28.4921150207519</v>
      </c>
      <c r="V10" s="30">
        <v>28.649127960205</v>
      </c>
      <c r="W10" s="30">
        <v>29.458248138427699</v>
      </c>
      <c r="X10" s="30">
        <v>29.065631866455</v>
      </c>
      <c r="Y10" s="30">
        <v>24.484046936035099</v>
      </c>
      <c r="AA10" s="30">
        <f t="shared" si="2"/>
        <v>1</v>
      </c>
      <c r="AB10" s="30">
        <f t="shared" si="3"/>
        <v>1.0299735217230706</v>
      </c>
      <c r="AC10" s="30">
        <f t="shared" si="4"/>
        <v>1.0180150961370631</v>
      </c>
      <c r="AD10" s="30">
        <f t="shared" si="5"/>
        <v>0.94797960353085864</v>
      </c>
      <c r="AE10" s="30">
        <f t="shared" si="6"/>
        <v>0.89355281373928597</v>
      </c>
      <c r="AF10" s="30">
        <f t="shared" si="7"/>
        <v>0.87326016722223798</v>
      </c>
      <c r="AG10" s="30">
        <f t="shared" si="8"/>
        <v>0.8780724861976108</v>
      </c>
      <c r="AH10" s="30">
        <f t="shared" si="9"/>
        <v>0.9028713620137101</v>
      </c>
      <c r="AI10" s="30">
        <f t="shared" si="10"/>
        <v>0.89083799239312078</v>
      </c>
      <c r="AJ10" s="30">
        <f t="shared" si="11"/>
        <v>0.75041613815143504</v>
      </c>
    </row>
    <row r="11" spans="1:36" s="30" customFormat="1" x14ac:dyDescent="0.25">
      <c r="B11" s="30" t="s">
        <v>904</v>
      </c>
      <c r="C11" s="30">
        <v>10</v>
      </c>
      <c r="D11" s="30">
        <v>-71.8</v>
      </c>
      <c r="E11" s="30">
        <v>0.283694237470627</v>
      </c>
      <c r="F11" s="30">
        <v>0.67475801706314098</v>
      </c>
      <c r="G11" s="30">
        <v>3.2571752071380602</v>
      </c>
      <c r="H11" s="30">
        <v>21.304897308349599</v>
      </c>
      <c r="I11" s="30">
        <v>0.81572532653808605</v>
      </c>
      <c r="J11" s="30">
        <v>3.7814567089080802</v>
      </c>
      <c r="K11" s="30">
        <f>H11/(1-(0.8*(H11/(ABS(D11)))))</f>
        <v>27.936469641057823</v>
      </c>
      <c r="L11" s="30">
        <f>K11/E11</f>
        <v>98.473870636693121</v>
      </c>
      <c r="P11" s="30">
        <v>20.934402465820298</v>
      </c>
      <c r="Q11" s="30">
        <v>21.959384918212798</v>
      </c>
      <c r="R11" s="30">
        <v>20.9000740051269</v>
      </c>
      <c r="S11" s="30">
        <v>21.143566131591701</v>
      </c>
      <c r="T11" s="30">
        <v>19.817966461181602</v>
      </c>
      <c r="U11" s="30">
        <v>19.911781311035099</v>
      </c>
      <c r="V11" s="30">
        <v>17.983528137206999</v>
      </c>
      <c r="W11" s="30">
        <v>17.574802398681602</v>
      </c>
      <c r="X11" s="30">
        <v>17.4629516601562</v>
      </c>
      <c r="Y11" s="30">
        <v>14.534431457519499</v>
      </c>
      <c r="AA11" s="30">
        <f t="shared" si="2"/>
        <v>1</v>
      </c>
      <c r="AB11" s="30">
        <f t="shared" si="3"/>
        <v>1.0489616292638873</v>
      </c>
      <c r="AC11" s="30">
        <f t="shared" si="4"/>
        <v>0.9983601891312901</v>
      </c>
      <c r="AD11" s="30">
        <f t="shared" si="5"/>
        <v>1.0099913845696291</v>
      </c>
      <c r="AE11" s="30">
        <f t="shared" si="6"/>
        <v>0.94666979358682402</v>
      </c>
      <c r="AF11" s="30">
        <f t="shared" si="7"/>
        <v>0.95115116581641934</v>
      </c>
      <c r="AG11" s="30">
        <f t="shared" si="8"/>
        <v>0.85904186501471891</v>
      </c>
      <c r="AH11" s="30">
        <f t="shared" si="9"/>
        <v>0.83951774727633466</v>
      </c>
      <c r="AI11" s="30">
        <f t="shared" si="10"/>
        <v>0.83417483201003928</v>
      </c>
      <c r="AJ11" s="30">
        <f t="shared" si="11"/>
        <v>0.69428451474791009</v>
      </c>
    </row>
    <row r="12" spans="1:36" s="30" customFormat="1" x14ac:dyDescent="0.25">
      <c r="B12" s="30" t="s">
        <v>906</v>
      </c>
      <c r="C12" s="30">
        <v>11</v>
      </c>
      <c r="D12" s="30">
        <v>-72.37</v>
      </c>
      <c r="E12" s="30">
        <v>0.35105320811271701</v>
      </c>
      <c r="F12" s="30">
        <v>0.77976059913635298</v>
      </c>
      <c r="G12" s="30">
        <v>2.7951734066009499</v>
      </c>
      <c r="H12" s="30">
        <v>21.163627624511701</v>
      </c>
      <c r="I12" s="30">
        <v>0.74830067157745395</v>
      </c>
      <c r="J12" s="30">
        <v>3.6438119411468501</v>
      </c>
      <c r="K12" s="30">
        <f t="shared" ref="K12:K15" si="12">H12/(1-(0.8*(H12/(ABS(D12)))))</f>
        <v>27.626923763041958</v>
      </c>
      <c r="L12" s="30">
        <f t="shared" ref="L12:L15" si="13">K12/E12</f>
        <v>78.697254788144363</v>
      </c>
      <c r="P12" s="30">
        <v>20.628402709960898</v>
      </c>
      <c r="Q12" s="30">
        <v>21.7603225708007</v>
      </c>
      <c r="R12" s="30">
        <v>20.69282913208</v>
      </c>
      <c r="S12" s="30">
        <v>21.0535278320312</v>
      </c>
      <c r="T12" s="30">
        <v>18.159915924072202</v>
      </c>
      <c r="U12" s="30">
        <v>19.719600677490199</v>
      </c>
      <c r="V12" s="30">
        <v>17.484165191650298</v>
      </c>
      <c r="W12" s="30">
        <v>17.613124847412099</v>
      </c>
      <c r="X12" s="30">
        <v>15.7468605041503</v>
      </c>
      <c r="Y12" s="30">
        <v>17.925956726074201</v>
      </c>
      <c r="AA12" s="30">
        <f t="shared" si="2"/>
        <v>1</v>
      </c>
      <c r="AB12" s="30">
        <f t="shared" si="3"/>
        <v>1.0548719101888206</v>
      </c>
      <c r="AC12" s="30">
        <f t="shared" si="4"/>
        <v>1.0031231900513553</v>
      </c>
      <c r="AD12" s="30">
        <f t="shared" si="5"/>
        <v>1.0206087271054205</v>
      </c>
      <c r="AE12" s="30">
        <f t="shared" si="6"/>
        <v>0.88033553442813428</v>
      </c>
      <c r="AF12" s="30">
        <f t="shared" si="7"/>
        <v>0.9559441394833802</v>
      </c>
      <c r="AG12" s="30">
        <f t="shared" si="8"/>
        <v>0.84757726700805913</v>
      </c>
      <c r="AH12" s="30">
        <f t="shared" si="9"/>
        <v>0.85382882499706081</v>
      </c>
      <c r="AI12" s="30">
        <f t="shared" si="10"/>
        <v>0.76335820691277112</v>
      </c>
      <c r="AJ12" s="30">
        <f t="shared" si="11"/>
        <v>0.86899392929818264</v>
      </c>
    </row>
    <row r="13" spans="1:36" s="30" customFormat="1" x14ac:dyDescent="0.25">
      <c r="B13" s="30" t="s">
        <v>907</v>
      </c>
      <c r="C13" s="30">
        <v>12</v>
      </c>
      <c r="D13" s="30">
        <v>-70.430000000000007</v>
      </c>
      <c r="E13" s="30">
        <v>0.22259682416915899</v>
      </c>
      <c r="F13" s="30">
        <v>0.80321276187896695</v>
      </c>
      <c r="G13" s="30">
        <v>3.3619635105132999</v>
      </c>
      <c r="H13" s="30">
        <v>12.4825592041015</v>
      </c>
      <c r="I13" s="30">
        <v>0.79658204317092896</v>
      </c>
      <c r="J13" s="30">
        <v>3.6322095394134499</v>
      </c>
      <c r="K13" s="30">
        <f t="shared" si="12"/>
        <v>14.544823863997275</v>
      </c>
      <c r="L13" s="30">
        <f t="shared" si="13"/>
        <v>65.341560546902329</v>
      </c>
      <c r="P13" s="30">
        <v>11.9804878234863</v>
      </c>
      <c r="Q13" s="30">
        <v>13.576427459716699</v>
      </c>
      <c r="R13" s="30">
        <v>12.9135589599609</v>
      </c>
      <c r="S13" s="30">
        <v>13.208721160888601</v>
      </c>
      <c r="T13" s="30">
        <v>12.690258026123001</v>
      </c>
      <c r="U13" s="30">
        <v>11.428646087646401</v>
      </c>
      <c r="V13" s="30">
        <v>11.480995178222599</v>
      </c>
      <c r="W13" s="30">
        <v>9.8848342895507795</v>
      </c>
      <c r="X13" s="30">
        <v>11.3989601135253</v>
      </c>
      <c r="Y13" s="30">
        <v>9.6985588073730398</v>
      </c>
      <c r="AA13" s="30">
        <f t="shared" si="2"/>
        <v>1</v>
      </c>
      <c r="AB13" s="30">
        <f t="shared" si="3"/>
        <v>1.1332115736641168</v>
      </c>
      <c r="AC13" s="30">
        <f t="shared" si="4"/>
        <v>1.0778825662378644</v>
      </c>
      <c r="AD13" s="30">
        <f t="shared" si="5"/>
        <v>1.102519476293319</v>
      </c>
      <c r="AE13" s="30">
        <f t="shared" si="6"/>
        <v>1.0592438482551005</v>
      </c>
      <c r="AF13" s="30">
        <f t="shared" si="7"/>
        <v>0.95393829166471167</v>
      </c>
      <c r="AG13" s="30">
        <f t="shared" si="8"/>
        <v>0.95830782079803922</v>
      </c>
      <c r="AH13" s="30">
        <f t="shared" si="9"/>
        <v>0.82507777940166638</v>
      </c>
      <c r="AI13" s="30">
        <f t="shared" si="10"/>
        <v>0.95146043145079751</v>
      </c>
      <c r="AJ13" s="30">
        <f t="shared" si="11"/>
        <v>0.80952954088899343</v>
      </c>
    </row>
    <row r="15" spans="1:36" s="30" customFormat="1" x14ac:dyDescent="0.25">
      <c r="A15" s="30" t="s">
        <v>888</v>
      </c>
      <c r="B15" s="30" t="s">
        <v>908</v>
      </c>
      <c r="C15" s="30">
        <v>1</v>
      </c>
      <c r="D15" s="30">
        <v>-76.540000000000006</v>
      </c>
      <c r="E15" s="30">
        <v>0.456535965204239</v>
      </c>
      <c r="F15" s="30">
        <v>1.39143967628479</v>
      </c>
      <c r="G15" s="30">
        <v>6.98705577850341</v>
      </c>
      <c r="H15" s="30">
        <v>21.149345397949201</v>
      </c>
      <c r="I15" s="30">
        <v>1.5306305885314899</v>
      </c>
      <c r="J15" s="30">
        <v>7.87178182601928</v>
      </c>
      <c r="K15" s="30">
        <f t="shared" si="12"/>
        <v>27.151235795963181</v>
      </c>
      <c r="L15" s="30">
        <f t="shared" si="13"/>
        <v>59.472282285179048</v>
      </c>
      <c r="P15" s="30">
        <v>21.3259468078613</v>
      </c>
      <c r="Q15" s="30">
        <v>22.189071655273398</v>
      </c>
      <c r="R15" s="30">
        <v>21.1554641723632</v>
      </c>
      <c r="S15" s="30">
        <v>20.899639129638601</v>
      </c>
      <c r="T15" s="30">
        <v>20.712711334228501</v>
      </c>
      <c r="U15" s="30">
        <v>19.670810699462798</v>
      </c>
      <c r="V15" s="30">
        <v>18.103744506835898</v>
      </c>
      <c r="W15" s="30">
        <v>18.335903167724599</v>
      </c>
      <c r="X15" s="30">
        <v>17.084526062011701</v>
      </c>
      <c r="Y15" s="30">
        <v>16.768775939941399</v>
      </c>
      <c r="AA15" s="30">
        <f t="shared" ref="AA15" si="14">P15/P15</f>
        <v>1</v>
      </c>
      <c r="AB15" s="30">
        <f t="shared" ref="AB15" si="15">Q15/P15</f>
        <v>1.0404729907276111</v>
      </c>
      <c r="AC15" s="30">
        <f t="shared" ref="AC15" si="16">R15/P15</f>
        <v>0.99200585854245604</v>
      </c>
      <c r="AD15" s="30">
        <f t="shared" ref="AD15" si="17">S15/P15</f>
        <v>0.98000990614561834</v>
      </c>
      <c r="AE15" s="30">
        <f t="shared" ref="AE15" si="18">T15/P15</f>
        <v>0.97124463081720036</v>
      </c>
      <c r="AF15" s="30">
        <f t="shared" ref="AF15" si="19">U15/P15</f>
        <v>0.92238862249302922</v>
      </c>
      <c r="AG15" s="30">
        <f t="shared" ref="AG15" si="20">V15/P15</f>
        <v>0.84890695217163281</v>
      </c>
      <c r="AH15" s="30">
        <f t="shared" ref="AH15" si="21">W15/P15</f>
        <v>0.85979315867774309</v>
      </c>
      <c r="AI15" s="30">
        <f t="shared" ref="AI15" si="22">X15/P15</f>
        <v>0.80111453976401648</v>
      </c>
      <c r="AJ15" s="30">
        <f t="shared" ref="AJ15" si="23">Y15/P15</f>
        <v>0.7863086263424417</v>
      </c>
    </row>
    <row r="16" spans="1:36" s="30" customFormat="1" x14ac:dyDescent="0.25">
      <c r="B16" s="30" t="s">
        <v>909</v>
      </c>
      <c r="C16" s="30">
        <v>2</v>
      </c>
      <c r="D16" s="30">
        <v>-76.62</v>
      </c>
      <c r="E16" s="30">
        <v>0.31233754754066501</v>
      </c>
      <c r="F16" s="30">
        <v>1.14522016048431</v>
      </c>
      <c r="G16" s="30">
        <v>4.2410755157470703</v>
      </c>
      <c r="H16" s="30">
        <v>20.041580200195298</v>
      </c>
      <c r="I16" s="30">
        <v>1.1084326505661</v>
      </c>
      <c r="J16" s="30">
        <v>5.5898351669311497</v>
      </c>
      <c r="K16" s="30">
        <f t="shared" ref="K16:K25" si="24">H16/(1-(0.8*(H16/(ABS(D16)))))</f>
        <v>25.345248488021593</v>
      </c>
      <c r="L16" s="30">
        <f t="shared" ref="L16:L25" si="25">K16/E16</f>
        <v>81.146979245976667</v>
      </c>
      <c r="P16" s="30">
        <v>19.600547790527301</v>
      </c>
      <c r="Q16" s="30">
        <v>21.187461853027301</v>
      </c>
      <c r="R16" s="30">
        <v>21.553672790527301</v>
      </c>
      <c r="S16" s="30">
        <v>20.180381774902301</v>
      </c>
      <c r="T16" s="30">
        <v>19.447959899902301</v>
      </c>
      <c r="U16" s="30">
        <v>18.685020446777301</v>
      </c>
      <c r="V16" s="30">
        <v>17.067588806152301</v>
      </c>
      <c r="W16" s="30">
        <v>16.792930603027301</v>
      </c>
      <c r="X16" s="30">
        <v>16.091026306152301</v>
      </c>
      <c r="Y16" s="30">
        <v>16.457237243652301</v>
      </c>
      <c r="AA16" s="30">
        <f t="shared" ref="AA16:AA25" si="26">P16/P16</f>
        <v>1</v>
      </c>
      <c r="AB16" s="30">
        <f t="shared" ref="AB16:AB25" si="27">Q16/P16</f>
        <v>1.0809627404019257</v>
      </c>
      <c r="AC16" s="30">
        <f t="shared" ref="AC16:AC25" si="28">R16/P16</f>
        <v>1.099646449725447</v>
      </c>
      <c r="AD16" s="30">
        <f t="shared" ref="AD16:AD25" si="29">S16/P16</f>
        <v>1.029582539762242</v>
      </c>
      <c r="AE16" s="30">
        <f t="shared" ref="AE16:AE25" si="30">T16/P16</f>
        <v>0.99221512111519949</v>
      </c>
      <c r="AF16" s="30">
        <f t="shared" ref="AF16:AF25" si="31">U16/P16</f>
        <v>0.95329072669119674</v>
      </c>
      <c r="AG16" s="30">
        <f t="shared" ref="AG16:AG25" si="32">V16/P16</f>
        <v>0.87077101051231087</v>
      </c>
      <c r="AH16" s="30">
        <f t="shared" ref="AH16:AH25" si="33">W16/P16</f>
        <v>0.85675822851966998</v>
      </c>
      <c r="AI16" s="30">
        <f t="shared" ref="AI16:AI25" si="34">X16/P16</f>
        <v>0.82094778564958737</v>
      </c>
      <c r="AJ16" s="30">
        <f t="shared" ref="AJ16:AJ25" si="35">Y16/P16</f>
        <v>0.83963149497310874</v>
      </c>
    </row>
    <row r="17" spans="1:36" s="30" customFormat="1" x14ac:dyDescent="0.25">
      <c r="B17" s="30" t="s">
        <v>911</v>
      </c>
      <c r="C17" s="30">
        <v>3</v>
      </c>
      <c r="D17" s="30">
        <v>-74.010000000000005</v>
      </c>
      <c r="E17" s="30">
        <v>0.203805983066559</v>
      </c>
      <c r="F17" s="30">
        <v>0.91407024860382102</v>
      </c>
      <c r="G17" s="30">
        <v>4.6512722969055096</v>
      </c>
      <c r="H17" s="30">
        <v>12.0496978759765</v>
      </c>
      <c r="I17" s="30">
        <v>0.95653378963470503</v>
      </c>
      <c r="J17" s="30">
        <v>4.1416368484496999</v>
      </c>
      <c r="K17" s="30">
        <f>H17/(1-(0.8*(H17/(ABS(D17)))))</f>
        <v>13.854199025197131</v>
      </c>
      <c r="L17" s="30">
        <f>K17/E17</f>
        <v>67.977391128270384</v>
      </c>
      <c r="P17" s="30">
        <v>12.2887001037597</v>
      </c>
      <c r="Q17" s="30">
        <v>12.7433013916015</v>
      </c>
      <c r="R17" s="30">
        <v>12.215049743652299</v>
      </c>
      <c r="S17" s="30">
        <v>11.791652679443301</v>
      </c>
      <c r="T17" s="30">
        <v>11.4226989746093</v>
      </c>
      <c r="U17" s="30">
        <v>10.910701751708901</v>
      </c>
      <c r="V17" s="30">
        <v>9.2562408447265607</v>
      </c>
      <c r="W17" s="30">
        <v>9.6571540832519496</v>
      </c>
      <c r="X17" s="30">
        <v>9.2793731689453107</v>
      </c>
      <c r="Y17" s="30">
        <v>9.8510665893554599</v>
      </c>
      <c r="AA17" s="30">
        <f t="shared" si="26"/>
        <v>1</v>
      </c>
      <c r="AB17" s="30">
        <f t="shared" si="27"/>
        <v>1.0369934398271072</v>
      </c>
      <c r="AC17" s="30">
        <f t="shared" si="28"/>
        <v>0.99400665981873315</v>
      </c>
      <c r="AD17" s="30">
        <f t="shared" si="29"/>
        <v>0.95955248153835826</v>
      </c>
      <c r="AE17" s="30">
        <f t="shared" si="30"/>
        <v>0.92952866276837143</v>
      </c>
      <c r="AF17" s="30">
        <f t="shared" si="31"/>
        <v>0.88786459589576905</v>
      </c>
      <c r="AG17" s="30">
        <f t="shared" si="32"/>
        <v>0.75323189324920015</v>
      </c>
      <c r="AH17" s="30">
        <f t="shared" si="33"/>
        <v>0.78585643735396926</v>
      </c>
      <c r="AI17" s="30">
        <f t="shared" si="34"/>
        <v>0.75511429936403995</v>
      </c>
      <c r="AJ17" s="30">
        <f t="shared" si="35"/>
        <v>0.80163617845483492</v>
      </c>
    </row>
    <row r="18" spans="1:36" s="30" customFormat="1" x14ac:dyDescent="0.25">
      <c r="B18" s="30" t="s">
        <v>912</v>
      </c>
      <c r="C18" s="30">
        <v>4</v>
      </c>
      <c r="D18" s="30">
        <v>-73.63</v>
      </c>
      <c r="E18" s="30">
        <v>0.233628705143929</v>
      </c>
      <c r="F18" s="30">
        <v>1.1539325714111299</v>
      </c>
      <c r="G18" s="30">
        <v>3.97306036949157</v>
      </c>
      <c r="H18" s="30">
        <v>14.514019012451101</v>
      </c>
      <c r="I18" s="30">
        <v>1.06447553634643</v>
      </c>
      <c r="J18" s="30">
        <v>4.6057829856872496</v>
      </c>
      <c r="K18" s="30">
        <f t="shared" si="24"/>
        <v>17.231347300736115</v>
      </c>
      <c r="L18" s="30">
        <f t="shared" si="25"/>
        <v>73.755266032573317</v>
      </c>
      <c r="P18" s="30">
        <v>14.304893493652299</v>
      </c>
      <c r="Q18" s="30">
        <v>14.5445289611816</v>
      </c>
      <c r="R18" s="30">
        <v>14.684097290039</v>
      </c>
      <c r="S18" s="30">
        <v>14.194595336914</v>
      </c>
      <c r="T18" s="30">
        <v>13.8692283630371</v>
      </c>
      <c r="U18" s="30">
        <v>13.6337432861328</v>
      </c>
      <c r="V18" s="30">
        <v>12.984264373779199</v>
      </c>
      <c r="W18" s="30">
        <v>12.9265022277832</v>
      </c>
      <c r="X18" s="30">
        <v>11.9916458129882</v>
      </c>
      <c r="Y18" s="30">
        <v>11.9893264770507</v>
      </c>
      <c r="AA18" s="30">
        <f t="shared" si="26"/>
        <v>1</v>
      </c>
      <c r="AB18" s="30">
        <f t="shared" si="27"/>
        <v>1.0167519924308166</v>
      </c>
      <c r="AC18" s="30">
        <f t="shared" si="28"/>
        <v>1.0265086766675313</v>
      </c>
      <c r="AD18" s="30">
        <f t="shared" si="29"/>
        <v>0.99228948074396761</v>
      </c>
      <c r="AE18" s="30">
        <f t="shared" si="30"/>
        <v>0.96954432895229015</v>
      </c>
      <c r="AF18" s="30">
        <f t="shared" si="31"/>
        <v>0.95308247434227189</v>
      </c>
      <c r="AG18" s="30">
        <f t="shared" si="32"/>
        <v>0.9076799054492003</v>
      </c>
      <c r="AH18" s="30">
        <f t="shared" si="33"/>
        <v>0.90364197632923648</v>
      </c>
      <c r="AI18" s="30">
        <f t="shared" si="34"/>
        <v>0.83828976554837076</v>
      </c>
      <c r="AJ18" s="30">
        <f t="shared" si="35"/>
        <v>0.83812762970733634</v>
      </c>
    </row>
    <row r="19" spans="1:36" s="30" customFormat="1" x14ac:dyDescent="0.25">
      <c r="B19" s="30" t="s">
        <v>913</v>
      </c>
      <c r="C19" s="30">
        <v>5</v>
      </c>
      <c r="D19" s="30">
        <v>-81.23</v>
      </c>
      <c r="E19" s="30">
        <v>0.25836333632469199</v>
      </c>
      <c r="F19" s="30">
        <v>1.1358624696731501</v>
      </c>
      <c r="G19" s="30">
        <v>3.7024903297424299</v>
      </c>
      <c r="H19" s="30">
        <v>16.2176208496093</v>
      </c>
      <c r="I19" s="30">
        <v>1.05605888366699</v>
      </c>
      <c r="J19" s="30">
        <v>4.7565150260925204</v>
      </c>
      <c r="K19" s="30">
        <f t="shared" si="24"/>
        <v>19.300269684098161</v>
      </c>
      <c r="L19" s="30">
        <f t="shared" si="25"/>
        <v>74.7020454165486</v>
      </c>
      <c r="P19" s="30">
        <v>16.183860778808501</v>
      </c>
      <c r="Q19" s="30">
        <v>16.307235717773398</v>
      </c>
      <c r="R19" s="30">
        <v>17.043678283691399</v>
      </c>
      <c r="S19" s="30">
        <v>15.755332946777299</v>
      </c>
      <c r="T19" s="30">
        <v>15.6317749023437</v>
      </c>
      <c r="U19" s="30">
        <v>15.1242904663085</v>
      </c>
      <c r="V19" s="30">
        <v>14.646240234375</v>
      </c>
      <c r="W19" s="30">
        <v>13.886711120605399</v>
      </c>
      <c r="X19" s="30">
        <v>12.781135559081999</v>
      </c>
      <c r="Y19" s="30">
        <v>13.986083984375</v>
      </c>
      <c r="AA19" s="30">
        <f t="shared" si="26"/>
        <v>1</v>
      </c>
      <c r="AB19" s="30">
        <f t="shared" si="27"/>
        <v>1.007623331703795</v>
      </c>
      <c r="AC19" s="30">
        <f t="shared" si="28"/>
        <v>1.0531280833809915</v>
      </c>
      <c r="AD19" s="30">
        <f t="shared" si="29"/>
        <v>0.97352128531701621</v>
      </c>
      <c r="AE19" s="30">
        <f t="shared" si="30"/>
        <v>0.96588663953488063</v>
      </c>
      <c r="AF19" s="30">
        <f t="shared" si="31"/>
        <v>0.93452919998623407</v>
      </c>
      <c r="AG19" s="30">
        <f t="shared" si="32"/>
        <v>0.90499049853129632</v>
      </c>
      <c r="AH19" s="30">
        <f t="shared" si="33"/>
        <v>0.85805923014296814</v>
      </c>
      <c r="AI19" s="30">
        <f t="shared" si="34"/>
        <v>0.78974576794542717</v>
      </c>
      <c r="AJ19" s="30">
        <f t="shared" si="35"/>
        <v>0.86419947474391789</v>
      </c>
    </row>
    <row r="20" spans="1:36" s="30" customFormat="1" x14ac:dyDescent="0.25">
      <c r="B20" s="30" t="s">
        <v>914</v>
      </c>
      <c r="C20" s="30">
        <v>7</v>
      </c>
      <c r="D20" s="30">
        <v>-72.14</v>
      </c>
      <c r="E20" s="30">
        <v>0.226711630821228</v>
      </c>
      <c r="F20" s="30">
        <v>1.0432108640670701</v>
      </c>
      <c r="G20" s="30">
        <v>3.51017022132873</v>
      </c>
      <c r="H20" s="30">
        <v>19.1485786437988</v>
      </c>
      <c r="I20" s="30">
        <v>1.1292667388916</v>
      </c>
      <c r="J20" s="30">
        <v>5.3403687477111799</v>
      </c>
      <c r="K20" s="30">
        <f t="shared" si="24"/>
        <v>24.310996474747764</v>
      </c>
      <c r="L20" s="30">
        <f t="shared" si="25"/>
        <v>107.23312424106747</v>
      </c>
      <c r="P20" s="30">
        <v>19.039852142333899</v>
      </c>
      <c r="Q20" s="30">
        <v>19.698410034179599</v>
      </c>
      <c r="R20" s="30">
        <v>19.5955276489257</v>
      </c>
      <c r="S20" s="30">
        <v>18.6229553222656</v>
      </c>
      <c r="T20" s="30">
        <v>18.135631561279201</v>
      </c>
      <c r="U20" s="30">
        <v>16.541404724121001</v>
      </c>
      <c r="V20" s="30">
        <v>16.675216674804599</v>
      </c>
      <c r="W20" s="30">
        <v>15.830558776855399</v>
      </c>
      <c r="X20" s="30">
        <v>15.3073387145996</v>
      </c>
      <c r="Y20" s="30">
        <v>16.134628295898398</v>
      </c>
      <c r="AA20" s="30">
        <f t="shared" si="26"/>
        <v>1</v>
      </c>
      <c r="AB20" s="30">
        <f t="shared" si="27"/>
        <v>1.0345883931725204</v>
      </c>
      <c r="AC20" s="30">
        <f t="shared" si="28"/>
        <v>1.0291848645902186</v>
      </c>
      <c r="AD20" s="30">
        <f t="shared" si="29"/>
        <v>0.97810398857345349</v>
      </c>
      <c r="AE20" s="30">
        <f t="shared" si="30"/>
        <v>0.95250905446664569</v>
      </c>
      <c r="AF20" s="30">
        <f t="shared" si="31"/>
        <v>0.86877800313071973</v>
      </c>
      <c r="AG20" s="30">
        <f t="shared" si="32"/>
        <v>0.87580599629386391</v>
      </c>
      <c r="AH20" s="30">
        <f t="shared" si="33"/>
        <v>0.8314433672337801</v>
      </c>
      <c r="AI20" s="30">
        <f t="shared" si="34"/>
        <v>0.80396310854561248</v>
      </c>
      <c r="AJ20" s="30">
        <f t="shared" si="35"/>
        <v>0.84741352901707045</v>
      </c>
    </row>
    <row r="21" spans="1:36" s="30" customFormat="1" x14ac:dyDescent="0.25">
      <c r="B21" s="30" t="s">
        <v>915</v>
      </c>
      <c r="C21" s="30">
        <v>8</v>
      </c>
      <c r="D21" s="30">
        <v>-64.709999999999994</v>
      </c>
      <c r="E21" s="30">
        <v>0.50729846954345703</v>
      </c>
      <c r="F21" s="30">
        <v>1.19207334518432</v>
      </c>
      <c r="G21" s="30">
        <v>14.018749237060501</v>
      </c>
      <c r="H21" s="30">
        <v>22.0925979614257</v>
      </c>
      <c r="I21" s="30">
        <v>1.0998841524124101</v>
      </c>
      <c r="J21" s="30">
        <v>9.8383674621581996</v>
      </c>
      <c r="K21" s="30">
        <f t="shared" si="24"/>
        <v>30.394047028641911</v>
      </c>
      <c r="L21" s="30">
        <f t="shared" si="25"/>
        <v>59.913539766826055</v>
      </c>
      <c r="P21" s="30">
        <v>22.134098052978501</v>
      </c>
      <c r="Q21" s="30">
        <v>22.801223754882798</v>
      </c>
      <c r="R21" s="30">
        <v>22.106021881103501</v>
      </c>
      <c r="S21" s="30">
        <v>21.314857482910099</v>
      </c>
      <c r="T21" s="30">
        <v>21.799491882324201</v>
      </c>
      <c r="U21" s="30">
        <v>21.1443367004394</v>
      </c>
      <c r="V21" s="30">
        <v>20.332939147949201</v>
      </c>
      <c r="W21" s="30">
        <v>18.2493782043457</v>
      </c>
      <c r="X21" s="30">
        <v>17.822765350341701</v>
      </c>
      <c r="Y21" s="30">
        <v>17.472091674804599</v>
      </c>
      <c r="AA21" s="30">
        <f t="shared" si="26"/>
        <v>1</v>
      </c>
      <c r="AB21" s="30">
        <f t="shared" si="27"/>
        <v>1.0301401801106833</v>
      </c>
      <c r="AC21" s="30">
        <f t="shared" si="28"/>
        <v>0.99873154208462445</v>
      </c>
      <c r="AD21" s="30">
        <f t="shared" si="29"/>
        <v>0.96298739762932606</v>
      </c>
      <c r="AE21" s="30">
        <f t="shared" si="30"/>
        <v>0.98488277363489529</v>
      </c>
      <c r="AF21" s="30">
        <f t="shared" si="31"/>
        <v>0.95528341158649954</v>
      </c>
      <c r="AG21" s="30">
        <f t="shared" si="32"/>
        <v>0.91862515017697211</v>
      </c>
      <c r="AH21" s="30">
        <f t="shared" si="33"/>
        <v>0.82449161292524187</v>
      </c>
      <c r="AI21" s="30">
        <f t="shared" si="34"/>
        <v>0.80521760171489609</v>
      </c>
      <c r="AJ21" s="30">
        <f t="shared" si="35"/>
        <v>0.78937445894496006</v>
      </c>
    </row>
    <row r="22" spans="1:36" s="30" customFormat="1" x14ac:dyDescent="0.25">
      <c r="B22" s="30" t="s">
        <v>916</v>
      </c>
      <c r="C22" s="30">
        <v>9</v>
      </c>
      <c r="D22" s="30">
        <v>-79.17</v>
      </c>
      <c r="E22" s="30">
        <v>0.21411812305450401</v>
      </c>
      <c r="F22" s="30">
        <v>1.0286070108413701</v>
      </c>
      <c r="H22" s="30">
        <v>17.228580474853501</v>
      </c>
      <c r="I22" s="30">
        <v>1.1411093473434399</v>
      </c>
      <c r="J22" s="30">
        <v>5.0354590415954501</v>
      </c>
      <c r="K22" s="30">
        <f t="shared" si="24"/>
        <v>20.860169255900292</v>
      </c>
      <c r="L22" s="30">
        <f t="shared" si="25"/>
        <v>97.423650825625415</v>
      </c>
      <c r="P22" s="30">
        <v>16.615024566650298</v>
      </c>
      <c r="Q22" s="30">
        <v>18.9333801269531</v>
      </c>
      <c r="R22" s="30">
        <v>17.616195678710898</v>
      </c>
      <c r="S22" s="30">
        <v>17.2643432617187</v>
      </c>
      <c r="T22" s="30">
        <v>16.421169281005799</v>
      </c>
      <c r="U22" s="30">
        <v>15.817378997802701</v>
      </c>
      <c r="V22" s="30">
        <v>15.084602355956999</v>
      </c>
      <c r="W22" s="30">
        <v>15.292251586914</v>
      </c>
      <c r="X22" s="30">
        <v>15.151760101318301</v>
      </c>
      <c r="Y22" s="30">
        <v>13.6663360595703</v>
      </c>
      <c r="AA22" s="30">
        <f t="shared" si="26"/>
        <v>1</v>
      </c>
      <c r="AB22" s="30">
        <f t="shared" si="27"/>
        <v>1.1395336823609763</v>
      </c>
      <c r="AC22" s="30">
        <f t="shared" si="28"/>
        <v>1.0602569745259451</v>
      </c>
      <c r="AD22" s="30">
        <f t="shared" si="29"/>
        <v>1.0390802127594632</v>
      </c>
      <c r="AE22" s="30">
        <f t="shared" si="30"/>
        <v>0.98833253090497342</v>
      </c>
      <c r="AF22" s="30">
        <f t="shared" si="31"/>
        <v>0.9519925134237458</v>
      </c>
      <c r="AG22" s="30">
        <f t="shared" si="32"/>
        <v>0.90788925983503121</v>
      </c>
      <c r="AH22" s="30">
        <f t="shared" si="33"/>
        <v>0.92038693807342487</v>
      </c>
      <c r="AI22" s="30">
        <f t="shared" si="34"/>
        <v>0.91193124876450293</v>
      </c>
      <c r="AJ22" s="30">
        <f t="shared" si="35"/>
        <v>0.82252879041788418</v>
      </c>
    </row>
    <row r="23" spans="1:36" s="30" customFormat="1" x14ac:dyDescent="0.25">
      <c r="B23" s="30" t="s">
        <v>917</v>
      </c>
      <c r="C23" s="30">
        <v>10</v>
      </c>
      <c r="D23" s="30">
        <v>-79.98</v>
      </c>
      <c r="E23" s="30">
        <v>0.28158971667289701</v>
      </c>
      <c r="F23" s="30">
        <v>0.94484239816665605</v>
      </c>
      <c r="G23" s="30">
        <v>3.0618314743041899</v>
      </c>
      <c r="H23" s="30">
        <v>20.5078010559082</v>
      </c>
      <c r="I23" s="30">
        <v>0.96159803867340099</v>
      </c>
      <c r="J23" s="30">
        <v>4.6649532318115199</v>
      </c>
      <c r="K23" s="30">
        <f t="shared" si="24"/>
        <v>25.800172118899816</v>
      </c>
      <c r="L23" s="30">
        <f t="shared" si="25"/>
        <v>91.623275252164348</v>
      </c>
      <c r="P23" s="30">
        <v>19.809951782226499</v>
      </c>
      <c r="Q23" s="30">
        <v>22.074642181396399</v>
      </c>
      <c r="R23" s="30">
        <v>22.185791015625</v>
      </c>
      <c r="S23" s="30">
        <v>21.572399139404201</v>
      </c>
      <c r="T23" s="30">
        <v>20.820262908935501</v>
      </c>
      <c r="U23" s="30">
        <v>19.363288879394499</v>
      </c>
      <c r="V23" s="30">
        <v>20.134883880615199</v>
      </c>
      <c r="W23" s="30">
        <v>19.2175903320312</v>
      </c>
      <c r="X23" s="30">
        <v>18.9979133605957</v>
      </c>
      <c r="Y23" s="30">
        <v>17.399356842041001</v>
      </c>
      <c r="AA23" s="30">
        <f t="shared" si="26"/>
        <v>1</v>
      </c>
      <c r="AB23" s="30">
        <f t="shared" si="27"/>
        <v>1.1143208435874026</v>
      </c>
      <c r="AC23" s="30">
        <f t="shared" si="28"/>
        <v>1.1199316010213667</v>
      </c>
      <c r="AD23" s="30">
        <f t="shared" si="29"/>
        <v>1.0889677762244212</v>
      </c>
      <c r="AE23" s="30">
        <f t="shared" si="30"/>
        <v>1.0510001810108116</v>
      </c>
      <c r="AF23" s="30">
        <f t="shared" si="31"/>
        <v>0.97745260020103908</v>
      </c>
      <c r="AG23" s="30">
        <f t="shared" si="32"/>
        <v>1.0164024679090955</v>
      </c>
      <c r="AH23" s="30">
        <f t="shared" si="33"/>
        <v>0.97009778435065319</v>
      </c>
      <c r="AI23" s="30">
        <f t="shared" si="34"/>
        <v>0.95900856142621405</v>
      </c>
      <c r="AJ23" s="30">
        <f t="shared" si="35"/>
        <v>0.87831394206884017</v>
      </c>
    </row>
    <row r="24" spans="1:36" s="30" customFormat="1" x14ac:dyDescent="0.25">
      <c r="B24" s="30" t="s">
        <v>918</v>
      </c>
      <c r="C24" s="30">
        <v>11</v>
      </c>
      <c r="D24" s="30">
        <v>-76.41</v>
      </c>
      <c r="E24" s="30">
        <v>0.23916037380695301</v>
      </c>
      <c r="F24" s="30">
        <v>1.00932133197784</v>
      </c>
      <c r="G24" s="30">
        <v>3.05081939697265</v>
      </c>
      <c r="H24" s="30">
        <v>18.343479156494102</v>
      </c>
      <c r="I24" s="30">
        <v>0.98314189910888705</v>
      </c>
      <c r="J24" s="30">
        <v>4.5001888275146396</v>
      </c>
      <c r="K24" s="30">
        <f t="shared" si="24"/>
        <v>22.703819923899992</v>
      </c>
      <c r="L24" s="30">
        <f t="shared" si="25"/>
        <v>94.931361590136191</v>
      </c>
      <c r="P24" s="30">
        <v>18.645072937011701</v>
      </c>
      <c r="Q24" s="30">
        <v>18.651828765869102</v>
      </c>
      <c r="R24" s="30">
        <v>19.705078125</v>
      </c>
      <c r="S24" s="30">
        <v>18.2350044250488</v>
      </c>
      <c r="T24" s="30">
        <v>17.897960662841701</v>
      </c>
      <c r="U24" s="30">
        <v>17.714210510253899</v>
      </c>
      <c r="V24" s="30">
        <v>16.669040679931602</v>
      </c>
      <c r="W24" s="30">
        <v>15.672863006591699</v>
      </c>
      <c r="X24" s="30">
        <v>14.9808044433593</v>
      </c>
      <c r="Y24" s="30">
        <v>16.480373382568299</v>
      </c>
      <c r="AA24" s="30">
        <f t="shared" si="26"/>
        <v>1</v>
      </c>
      <c r="AB24" s="30">
        <f t="shared" si="27"/>
        <v>1.0003623385588367</v>
      </c>
      <c r="AC24" s="30">
        <f t="shared" si="28"/>
        <v>1.0568517587230308</v>
      </c>
      <c r="AD24" s="30">
        <f t="shared" si="29"/>
        <v>0.97800660188628774</v>
      </c>
      <c r="AE24" s="30">
        <f t="shared" si="30"/>
        <v>0.95992977465446472</v>
      </c>
      <c r="AF24" s="30">
        <f t="shared" si="31"/>
        <v>0.95007461596409315</v>
      </c>
      <c r="AG24" s="30">
        <f t="shared" si="32"/>
        <v>0.89401852898319611</v>
      </c>
      <c r="AH24" s="30">
        <f t="shared" si="33"/>
        <v>0.84059006148911497</v>
      </c>
      <c r="AI24" s="30">
        <f t="shared" si="34"/>
        <v>0.80347255781560467</v>
      </c>
      <c r="AJ24" s="30">
        <f t="shared" si="35"/>
        <v>0.88389964674547716</v>
      </c>
    </row>
    <row r="25" spans="1:36" s="30" customFormat="1" x14ac:dyDescent="0.25">
      <c r="B25" s="30" t="s">
        <v>919</v>
      </c>
      <c r="C25" s="30">
        <v>12</v>
      </c>
      <c r="D25" s="30">
        <v>-69.7</v>
      </c>
      <c r="E25" s="30">
        <v>0.273443013429642</v>
      </c>
      <c r="F25" s="30">
        <v>0.67461204528808605</v>
      </c>
      <c r="G25" s="30">
        <v>3.6867527961730899</v>
      </c>
      <c r="H25" s="30">
        <v>24.2452583312988</v>
      </c>
      <c r="I25" s="30">
        <v>0.75772362947464</v>
      </c>
      <c r="J25" s="30">
        <v>3.7289288043975799</v>
      </c>
      <c r="K25" s="30">
        <f t="shared" si="24"/>
        <v>33.59377879196748</v>
      </c>
      <c r="L25" s="30">
        <f t="shared" si="25"/>
        <v>122.85477098361227</v>
      </c>
      <c r="P25" s="30">
        <v>23.707035064697202</v>
      </c>
      <c r="Q25" s="30">
        <v>25.818576812744102</v>
      </c>
      <c r="R25" s="30">
        <v>24.183891296386701</v>
      </c>
      <c r="S25" s="30">
        <v>22.7867317199707</v>
      </c>
      <c r="T25" s="30">
        <v>22.839473724365199</v>
      </c>
      <c r="U25" s="30">
        <v>21.3170166015625</v>
      </c>
      <c r="V25" s="30">
        <v>21.587223052978501</v>
      </c>
      <c r="W25" s="30">
        <v>19.823776245117099</v>
      </c>
      <c r="X25" s="30">
        <v>19.490146636962798</v>
      </c>
      <c r="Y25" s="30">
        <v>19.858852386474599</v>
      </c>
      <c r="AA25" s="30">
        <f t="shared" si="26"/>
        <v>1</v>
      </c>
      <c r="AB25" s="30">
        <f t="shared" si="27"/>
        <v>1.0890681496983676</v>
      </c>
      <c r="AC25" s="30">
        <f t="shared" si="28"/>
        <v>1.0201145453401552</v>
      </c>
      <c r="AD25" s="30">
        <f t="shared" si="29"/>
        <v>0.96118015845444327</v>
      </c>
      <c r="AE25" s="30">
        <f t="shared" si="30"/>
        <v>0.96340489909579996</v>
      </c>
      <c r="AF25" s="30">
        <f t="shared" si="31"/>
        <v>0.89918526477004523</v>
      </c>
      <c r="AG25" s="30">
        <f t="shared" si="32"/>
        <v>0.91058299758136474</v>
      </c>
      <c r="AH25" s="30">
        <f t="shared" si="33"/>
        <v>0.83619803957000216</v>
      </c>
      <c r="AI25" s="30">
        <f t="shared" si="34"/>
        <v>0.82212501832361617</v>
      </c>
      <c r="AJ25" s="30">
        <f t="shared" si="35"/>
        <v>0.83767760634255617</v>
      </c>
    </row>
    <row r="27" spans="1:36" s="30" customFormat="1" x14ac:dyDescent="0.25">
      <c r="A27" s="30" t="s">
        <v>889</v>
      </c>
      <c r="B27" s="30" t="s">
        <v>910</v>
      </c>
      <c r="C27" s="30">
        <v>1</v>
      </c>
      <c r="D27" s="30">
        <v>-69.61</v>
      </c>
      <c r="E27" s="30">
        <v>0.18041245639324199</v>
      </c>
      <c r="F27" s="30">
        <v>1.08630323410034</v>
      </c>
      <c r="G27" s="30">
        <v>7.1578817367553702</v>
      </c>
      <c r="H27" s="30">
        <v>14.172039031982401</v>
      </c>
      <c r="I27" s="30">
        <v>1.2485147714614799</v>
      </c>
      <c r="J27" s="30">
        <v>8.7958850860595703</v>
      </c>
      <c r="K27" s="30">
        <f t="shared" ref="K27" si="36">H27/(1-(0.8*(H27/(ABS(D27)))))</f>
        <v>16.929389653530762</v>
      </c>
      <c r="L27" s="30">
        <f t="shared" ref="L27" si="37">K27/E27</f>
        <v>93.837144019756906</v>
      </c>
      <c r="P27" s="30">
        <v>15.822368621826101</v>
      </c>
      <c r="Q27" s="30">
        <v>17.0491218566894</v>
      </c>
      <c r="R27" s="30">
        <v>16.758335113525298</v>
      </c>
      <c r="S27" s="30">
        <v>15.4247932434082</v>
      </c>
      <c r="T27" s="30">
        <v>15.6285133361816</v>
      </c>
      <c r="U27" s="30">
        <v>15.7938117980957</v>
      </c>
      <c r="V27" s="30">
        <v>15.3027029037475</v>
      </c>
      <c r="W27" s="30">
        <v>16.192638397216701</v>
      </c>
      <c r="X27" s="30">
        <v>15.4130392074584</v>
      </c>
      <c r="Y27" s="30">
        <v>16.007778167724599</v>
      </c>
      <c r="AA27" s="30">
        <f t="shared" ref="AA27" si="38">P27/P27</f>
        <v>1</v>
      </c>
      <c r="AB27" s="30">
        <f t="shared" ref="AB27" si="39">Q27/P27</f>
        <v>1.07753284379755</v>
      </c>
      <c r="AC27" s="30">
        <f t="shared" ref="AC27" si="40">R27/P27</f>
        <v>1.0591546382257888</v>
      </c>
      <c r="AD27" s="30">
        <f t="shared" ref="AD27" si="41">S27/P27</f>
        <v>0.97487257515480541</v>
      </c>
      <c r="AE27" s="30">
        <f t="shared" ref="AE27" si="42">T27/P27</f>
        <v>0.98774802368230197</v>
      </c>
      <c r="AF27" s="30">
        <f t="shared" ref="AF27" si="43">U27/P27</f>
        <v>0.99819516126738395</v>
      </c>
      <c r="AG27" s="30">
        <f t="shared" ref="AG27" si="44">V27/P27</f>
        <v>0.96715626272530708</v>
      </c>
      <c r="AH27" s="30">
        <f t="shared" ref="AH27" si="45">W27/P27</f>
        <v>1.0234016653410434</v>
      </c>
      <c r="AI27" s="30">
        <f t="shared" ref="AI27" si="46">X27/P27</f>
        <v>0.9741297005428724</v>
      </c>
      <c r="AJ27" s="30">
        <f t="shared" ref="AJ27" si="47">Y27/P27</f>
        <v>1.0117181915255555</v>
      </c>
    </row>
    <row r="30" spans="1:36" x14ac:dyDescent="0.25">
      <c r="C30" t="s">
        <v>886</v>
      </c>
      <c r="E30">
        <f>AVERAGE(E3:E13)</f>
        <v>0.35303644023158331</v>
      </c>
      <c r="K30">
        <f>AVERAGE(K3:K13)</f>
        <v>27.030597547843307</v>
      </c>
      <c r="L30">
        <f>AVERAGE(L3:L13)</f>
        <v>80.403278420203165</v>
      </c>
    </row>
    <row r="32" spans="1:36" x14ac:dyDescent="0.25">
      <c r="E32">
        <f>AVERAGE(E15:E25)</f>
        <v>0.2915448058735241</v>
      </c>
      <c r="K32">
        <f>AVERAGE(K15:K25)</f>
        <v>23.685934898915765</v>
      </c>
      <c r="L32">
        <f>AVERAGE(L15:L25)</f>
        <v>84.639426069816352</v>
      </c>
    </row>
    <row r="34" spans="5:12" x14ac:dyDescent="0.25">
      <c r="E34">
        <f>AVERAGE(E27)</f>
        <v>0.18041245639324199</v>
      </c>
      <c r="K34">
        <f>AVERAGE(K27)</f>
        <v>16.929389653530762</v>
      </c>
      <c r="L34">
        <f>AVERAGE(L27)</f>
        <v>93.837144019756906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C5E6-065A-4561-B35E-859D659F6D92}">
  <dimension ref="A1:H14"/>
  <sheetViews>
    <sheetView workbookViewId="0">
      <selection activeCell="H10" sqref="H10"/>
    </sheetView>
  </sheetViews>
  <sheetFormatPr defaultRowHeight="15" x14ac:dyDescent="0.25"/>
  <cols>
    <col min="1" max="1" width="10.5703125" bestFit="1" customWidth="1"/>
    <col min="2" max="2" width="10.85546875" bestFit="1" customWidth="1"/>
  </cols>
  <sheetData>
    <row r="1" spans="1:8" x14ac:dyDescent="0.25">
      <c r="A1" s="4" t="s">
        <v>428</v>
      </c>
      <c r="B1" s="5"/>
    </row>
    <row r="2" spans="1:8" ht="45" x14ac:dyDescent="0.25">
      <c r="A2" s="7" t="s">
        <v>3</v>
      </c>
      <c r="B2" s="8" t="s">
        <v>109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</row>
    <row r="3" spans="1:8" x14ac:dyDescent="0.25">
      <c r="A3" s="9">
        <v>43164</v>
      </c>
      <c r="B3" t="s">
        <v>429</v>
      </c>
      <c r="C3">
        <v>1</v>
      </c>
      <c r="D3">
        <v>-83.17</v>
      </c>
      <c r="E3">
        <v>0.21984600000000001</v>
      </c>
      <c r="F3">
        <v>17.2105</v>
      </c>
      <c r="G3">
        <f>F3/(1-(0.8*(F3/ABS(D3))))</f>
        <v>20.624845608746774</v>
      </c>
      <c r="H3">
        <f>G3/E3</f>
        <v>93.814968699666011</v>
      </c>
    </row>
    <row r="4" spans="1:8" x14ac:dyDescent="0.25">
      <c r="A4" s="9">
        <v>43164</v>
      </c>
      <c r="B4" t="s">
        <v>430</v>
      </c>
      <c r="C4">
        <v>2</v>
      </c>
      <c r="D4">
        <v>-75.459999999999994</v>
      </c>
      <c r="E4">
        <v>0.11658300000000001</v>
      </c>
      <c r="F4">
        <v>12.2784</v>
      </c>
      <c r="G4">
        <f t="shared" ref="G4:G12" si="0">F4/(1-(0.8*(F4/ABS(D4))))</f>
        <v>14.115881462485952</v>
      </c>
      <c r="H4">
        <f t="shared" ref="H4:H12" si="1">G4/E4</f>
        <v>121.08010140831811</v>
      </c>
    </row>
    <row r="5" spans="1:8" x14ac:dyDescent="0.25">
      <c r="A5" s="9">
        <v>43164</v>
      </c>
      <c r="B5" t="s">
        <v>431</v>
      </c>
      <c r="C5">
        <v>3</v>
      </c>
      <c r="D5">
        <v>-76.12</v>
      </c>
      <c r="E5">
        <v>0.12582399999999999</v>
      </c>
      <c r="F5">
        <v>14.0543</v>
      </c>
      <c r="G5">
        <f t="shared" si="0"/>
        <v>16.48998214455267</v>
      </c>
      <c r="H5">
        <f t="shared" si="1"/>
        <v>131.05593642351755</v>
      </c>
    </row>
    <row r="6" spans="1:8" x14ac:dyDescent="0.25">
      <c r="A6" s="9">
        <v>43164</v>
      </c>
      <c r="B6" t="s">
        <v>432</v>
      </c>
      <c r="C6">
        <v>4</v>
      </c>
      <c r="D6">
        <v>-89.72</v>
      </c>
      <c r="E6">
        <v>0.35727599999999998</v>
      </c>
      <c r="F6">
        <v>30.944900000000001</v>
      </c>
      <c r="G6">
        <f t="shared" si="0"/>
        <v>42.737100687025823</v>
      </c>
      <c r="H6">
        <f t="shared" si="1"/>
        <v>119.61928785316066</v>
      </c>
    </row>
    <row r="7" spans="1:8" x14ac:dyDescent="0.25">
      <c r="A7" s="9">
        <v>43164</v>
      </c>
      <c r="B7" t="s">
        <v>433</v>
      </c>
      <c r="C7">
        <v>5</v>
      </c>
      <c r="D7">
        <v>-75.599999999999994</v>
      </c>
      <c r="E7">
        <v>0.33085300000000001</v>
      </c>
      <c r="F7">
        <v>26.5488</v>
      </c>
      <c r="G7">
        <f t="shared" si="0"/>
        <v>36.921520149754535</v>
      </c>
      <c r="H7">
        <f t="shared" si="1"/>
        <v>111.59493838579229</v>
      </c>
    </row>
    <row r="8" spans="1:8" x14ac:dyDescent="0.25">
      <c r="A8" s="9">
        <v>43164</v>
      </c>
      <c r="B8" t="s">
        <v>434</v>
      </c>
      <c r="C8">
        <v>6</v>
      </c>
      <c r="D8">
        <v>-82.72</v>
      </c>
      <c r="E8">
        <v>4.4498900000000001E-2</v>
      </c>
      <c r="F8">
        <v>3.0080900000000002</v>
      </c>
      <c r="G8">
        <f t="shared" si="0"/>
        <v>3.0982228149658675</v>
      </c>
      <c r="H8">
        <f t="shared" si="1"/>
        <v>69.624705666114608</v>
      </c>
    </row>
    <row r="9" spans="1:8" x14ac:dyDescent="0.25">
      <c r="A9" s="9">
        <v>43164</v>
      </c>
      <c r="B9" t="s">
        <v>435</v>
      </c>
      <c r="C9">
        <v>7</v>
      </c>
      <c r="D9">
        <v>-80.69</v>
      </c>
      <c r="E9">
        <v>9.5992099999999997E-2</v>
      </c>
      <c r="F9">
        <v>19.3764</v>
      </c>
      <c r="G9">
        <f t="shared" si="0"/>
        <v>23.983871421015365</v>
      </c>
      <c r="H9">
        <f t="shared" si="1"/>
        <v>249.85255475206154</v>
      </c>
    </row>
    <row r="10" spans="1:8" x14ac:dyDescent="0.25">
      <c r="A10" s="9">
        <v>43164</v>
      </c>
      <c r="B10" t="s">
        <v>436</v>
      </c>
      <c r="C10">
        <v>8</v>
      </c>
      <c r="D10">
        <v>-76.25</v>
      </c>
      <c r="E10">
        <v>0.186392</v>
      </c>
      <c r="F10">
        <v>7.30966</v>
      </c>
      <c r="G10">
        <f t="shared" si="0"/>
        <v>7.916812329579364</v>
      </c>
      <c r="H10">
        <f t="shared" si="1"/>
        <v>42.473992068218401</v>
      </c>
    </row>
    <row r="11" spans="1:8" x14ac:dyDescent="0.25">
      <c r="A11" s="9">
        <v>43164</v>
      </c>
      <c r="B11" t="s">
        <v>437</v>
      </c>
      <c r="C11">
        <v>9</v>
      </c>
      <c r="D11">
        <v>-85.33</v>
      </c>
      <c r="E11">
        <v>0.38973999999999998</v>
      </c>
      <c r="F11">
        <v>26.388400000000001</v>
      </c>
      <c r="G11">
        <f t="shared" si="0"/>
        <v>35.063024250661172</v>
      </c>
      <c r="H11">
        <f t="shared" si="1"/>
        <v>89.965167164420322</v>
      </c>
    </row>
    <row r="12" spans="1:8" x14ac:dyDescent="0.25">
      <c r="A12" s="9">
        <v>43164</v>
      </c>
      <c r="B12" t="s">
        <v>438</v>
      </c>
      <c r="C12">
        <v>10</v>
      </c>
      <c r="D12">
        <v>-76.23</v>
      </c>
      <c r="E12">
        <v>0.21067</v>
      </c>
      <c r="F12">
        <v>22.7121</v>
      </c>
      <c r="G12">
        <f t="shared" si="0"/>
        <v>29.819735457882423</v>
      </c>
      <c r="H12">
        <f t="shared" si="1"/>
        <v>141.54713750359531</v>
      </c>
    </row>
    <row r="13" spans="1:8" s="11" customFormat="1" ht="20.25" thickBot="1" x14ac:dyDescent="0.35"/>
    <row r="14" spans="1:8" ht="15.75" thickTop="1" x14ac:dyDescent="0.25"/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D604-7D4B-41A5-906C-60939F5D7F1E}">
  <dimension ref="A1:J29"/>
  <sheetViews>
    <sheetView workbookViewId="0">
      <selection activeCell="C4" sqref="C4"/>
    </sheetView>
  </sheetViews>
  <sheetFormatPr defaultRowHeight="15" x14ac:dyDescent="0.25"/>
  <sheetData>
    <row r="1" spans="1:10" x14ac:dyDescent="0.25">
      <c r="A1" s="4" t="s">
        <v>439</v>
      </c>
      <c r="B1" s="5"/>
    </row>
    <row r="2" spans="1:10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13" t="s">
        <v>12</v>
      </c>
    </row>
    <row r="3" spans="1:10" x14ac:dyDescent="0.25">
      <c r="A3" s="1" t="s">
        <v>440</v>
      </c>
      <c r="B3" s="1" t="s">
        <v>441</v>
      </c>
      <c r="C3" s="1">
        <v>1</v>
      </c>
      <c r="D3" s="1">
        <v>-60</v>
      </c>
      <c r="E3" s="1">
        <v>0.26445299999999999</v>
      </c>
      <c r="F3" s="1">
        <v>18.340199999999999</v>
      </c>
      <c r="G3">
        <f>F3/(1-(0.8*(F3/(ABS(D3)))))</f>
        <v>24.276735886819225</v>
      </c>
      <c r="H3">
        <f t="shared" ref="H3:H29" si="0">G3/E3</f>
        <v>91.799812771340186</v>
      </c>
    </row>
    <row r="4" spans="1:10" x14ac:dyDescent="0.25">
      <c r="A4" s="1" t="s">
        <v>440</v>
      </c>
      <c r="B4" s="1" t="s">
        <v>442</v>
      </c>
      <c r="C4" s="1">
        <v>2</v>
      </c>
      <c r="D4" s="1">
        <v>-68.86</v>
      </c>
      <c r="E4" s="1">
        <v>0.32101099999999999</v>
      </c>
      <c r="F4" s="1">
        <v>14.1152</v>
      </c>
      <c r="G4">
        <f>F4/(1-(0.8*(F4/(ABS(D4)))))</f>
        <v>16.883952428995077</v>
      </c>
      <c r="H4">
        <f t="shared" si="0"/>
        <v>52.596180283526351</v>
      </c>
    </row>
    <row r="5" spans="1:10" x14ac:dyDescent="0.25">
      <c r="A5" s="1" t="s">
        <v>440</v>
      </c>
      <c r="B5" s="1" t="s">
        <v>443</v>
      </c>
      <c r="C5" s="1">
        <v>3</v>
      </c>
      <c r="D5" s="1">
        <v>-57.51</v>
      </c>
      <c r="E5" s="1">
        <v>0.363008</v>
      </c>
      <c r="F5" s="1">
        <v>17.8261</v>
      </c>
      <c r="G5">
        <f>F5/(1-(0.8*(F5/(ABS(D5)))))</f>
        <v>23.704043249897339</v>
      </c>
      <c r="H5">
        <f t="shared" si="0"/>
        <v>65.298955532377633</v>
      </c>
    </row>
    <row r="6" spans="1:10" x14ac:dyDescent="0.25">
      <c r="A6" s="1" t="s">
        <v>440</v>
      </c>
      <c r="B6" s="1" t="s">
        <v>444</v>
      </c>
      <c r="C6" s="1">
        <v>4</v>
      </c>
      <c r="D6" s="1">
        <v>-66.34</v>
      </c>
      <c r="E6" s="1">
        <v>0.25473200000000001</v>
      </c>
      <c r="F6" s="1">
        <v>15.1052</v>
      </c>
      <c r="G6">
        <f t="shared" ref="G6:G29" si="1">F6/(1-(0.8*(F6/(ABS(D6)))))</f>
        <v>18.469513475415734</v>
      </c>
      <c r="H6">
        <f t="shared" si="0"/>
        <v>72.505666643435973</v>
      </c>
    </row>
    <row r="7" spans="1:10" x14ac:dyDescent="0.25">
      <c r="A7" s="1" t="s">
        <v>440</v>
      </c>
      <c r="B7" s="1" t="s">
        <v>445</v>
      </c>
      <c r="C7" s="1">
        <v>5</v>
      </c>
      <c r="D7" s="1">
        <v>-61.71</v>
      </c>
      <c r="E7" s="1">
        <v>0.29406199999999999</v>
      </c>
      <c r="F7" s="1">
        <v>7.90585</v>
      </c>
      <c r="G7">
        <f t="shared" si="1"/>
        <v>8.8086518864565555</v>
      </c>
      <c r="H7">
        <f t="shared" si="0"/>
        <v>29.955083915829164</v>
      </c>
    </row>
    <row r="8" spans="1:10" x14ac:dyDescent="0.25">
      <c r="A8" s="1" t="s">
        <v>440</v>
      </c>
      <c r="B8" s="1" t="s">
        <v>446</v>
      </c>
      <c r="C8" s="1">
        <v>6</v>
      </c>
      <c r="D8" s="1">
        <v>-58.8</v>
      </c>
      <c r="E8" s="1">
        <v>0.28440100000000001</v>
      </c>
      <c r="F8" s="1">
        <v>12.663</v>
      </c>
      <c r="G8">
        <f t="shared" si="1"/>
        <v>15.298757335174319</v>
      </c>
      <c r="H8">
        <f t="shared" si="0"/>
        <v>53.792909782927339</v>
      </c>
    </row>
    <row r="9" spans="1:10" x14ac:dyDescent="0.25">
      <c r="A9" s="1" t="s">
        <v>440</v>
      </c>
      <c r="B9" s="1" t="s">
        <v>447</v>
      </c>
      <c r="C9" s="1">
        <v>7</v>
      </c>
      <c r="D9" s="1">
        <v>-63.71</v>
      </c>
      <c r="E9" s="1">
        <v>0.29406199999999999</v>
      </c>
      <c r="F9" s="1">
        <v>9.1169100000000007</v>
      </c>
      <c r="G9">
        <f t="shared" si="1"/>
        <v>10.295545175175082</v>
      </c>
      <c r="H9">
        <f t="shared" si="0"/>
        <v>35.011477767188836</v>
      </c>
    </row>
    <row r="10" spans="1:10" x14ac:dyDescent="0.25">
      <c r="A10" s="1" t="s">
        <v>440</v>
      </c>
      <c r="B10" s="1" t="s">
        <v>448</v>
      </c>
      <c r="C10" s="1">
        <v>8</v>
      </c>
      <c r="D10" s="1">
        <v>-61.3</v>
      </c>
      <c r="E10" s="1">
        <v>0.21255599999999999</v>
      </c>
      <c r="F10" s="1">
        <v>10.9817</v>
      </c>
      <c r="G10">
        <f t="shared" si="1"/>
        <v>12.818867462482844</v>
      </c>
      <c r="H10">
        <f t="shared" si="0"/>
        <v>60.308189194766761</v>
      </c>
    </row>
    <row r="11" spans="1:10" x14ac:dyDescent="0.25">
      <c r="A11" s="1" t="s">
        <v>440</v>
      </c>
      <c r="B11" s="1" t="s">
        <v>449</v>
      </c>
      <c r="C11" s="1">
        <v>9</v>
      </c>
      <c r="D11" s="1">
        <v>-65.67</v>
      </c>
      <c r="E11" s="1">
        <v>0.30611100000000002</v>
      </c>
      <c r="F11" s="1">
        <v>2.52562</v>
      </c>
      <c r="G11">
        <f t="shared" si="1"/>
        <v>2.6057935251152937</v>
      </c>
      <c r="H11">
        <f t="shared" si="0"/>
        <v>8.5125772190979525</v>
      </c>
      <c r="J11">
        <f>2.73/E11</f>
        <v>8.9183335456746082</v>
      </c>
    </row>
    <row r="12" spans="1:10" x14ac:dyDescent="0.25">
      <c r="A12" s="1" t="s">
        <v>440</v>
      </c>
      <c r="B12" s="1" t="s">
        <v>450</v>
      </c>
      <c r="C12" s="1">
        <v>10</v>
      </c>
      <c r="D12" s="1">
        <v>-69.17</v>
      </c>
      <c r="E12" s="1">
        <v>0.26389299999999999</v>
      </c>
      <c r="F12" s="1">
        <v>16.767800000000001</v>
      </c>
      <c r="G12">
        <f t="shared" si="1"/>
        <v>20.801953484267816</v>
      </c>
      <c r="H12">
        <f t="shared" si="0"/>
        <v>78.827227263579616</v>
      </c>
    </row>
    <row r="13" spans="1:10" x14ac:dyDescent="0.25">
      <c r="A13" s="1" t="s">
        <v>440</v>
      </c>
      <c r="B13" s="1" t="s">
        <v>451</v>
      </c>
      <c r="C13" s="1">
        <v>11</v>
      </c>
      <c r="D13" s="1">
        <v>-61.69</v>
      </c>
      <c r="E13">
        <v>0.19637299999999999</v>
      </c>
      <c r="F13">
        <v>11.285</v>
      </c>
      <c r="G13">
        <f t="shared" si="1"/>
        <v>13.219620409403365</v>
      </c>
      <c r="H13">
        <f t="shared" si="0"/>
        <v>67.318930858128994</v>
      </c>
    </row>
    <row r="14" spans="1:10" x14ac:dyDescent="0.25">
      <c r="A14" s="1" t="s">
        <v>440</v>
      </c>
      <c r="B14" s="1" t="s">
        <v>452</v>
      </c>
      <c r="C14" s="1">
        <v>12</v>
      </c>
      <c r="D14" s="1">
        <v>-53.15</v>
      </c>
      <c r="E14">
        <v>0.10566200000000001</v>
      </c>
      <c r="F14">
        <v>1.8077399999999999</v>
      </c>
      <c r="G14">
        <f t="shared" si="1"/>
        <v>1.8583037636222073</v>
      </c>
      <c r="H14">
        <f t="shared" si="0"/>
        <v>17.587247672978055</v>
      </c>
    </row>
    <row r="15" spans="1:10" x14ac:dyDescent="0.25">
      <c r="A15" s="1" t="s">
        <v>440</v>
      </c>
      <c r="B15" s="1" t="s">
        <v>453</v>
      </c>
      <c r="C15" s="1">
        <v>13</v>
      </c>
      <c r="D15" s="1">
        <v>-63.13</v>
      </c>
      <c r="E15">
        <v>0.25841199999999998</v>
      </c>
      <c r="F15">
        <v>11.4602</v>
      </c>
      <c r="G15">
        <f t="shared" si="1"/>
        <v>13.4072971937206</v>
      </c>
      <c r="H15">
        <f t="shared" si="0"/>
        <v>51.883415606553108</v>
      </c>
    </row>
    <row r="16" spans="1:10" x14ac:dyDescent="0.25">
      <c r="A16" s="1" t="s">
        <v>440</v>
      </c>
      <c r="B16" s="1" t="s">
        <v>454</v>
      </c>
      <c r="C16" s="1">
        <v>14</v>
      </c>
      <c r="E16" t="s">
        <v>455</v>
      </c>
      <c r="G16" t="e">
        <f t="shared" si="1"/>
        <v>#DIV/0!</v>
      </c>
      <c r="H16" t="e">
        <f t="shared" si="0"/>
        <v>#DIV/0!</v>
      </c>
    </row>
    <row r="17" spans="1:8" x14ac:dyDescent="0.25">
      <c r="A17" s="1" t="s">
        <v>440</v>
      </c>
      <c r="B17" s="1" t="s">
        <v>456</v>
      </c>
      <c r="C17" s="1">
        <v>15</v>
      </c>
      <c r="D17" s="1">
        <v>-51.23</v>
      </c>
      <c r="E17">
        <v>0.18914300000000001</v>
      </c>
      <c r="F17">
        <v>7.0116300000000003</v>
      </c>
      <c r="G17">
        <f t="shared" si="1"/>
        <v>7.8737467069770268</v>
      </c>
      <c r="H17">
        <f t="shared" si="0"/>
        <v>41.628538761556214</v>
      </c>
    </row>
    <row r="18" spans="1:8" x14ac:dyDescent="0.25">
      <c r="A18" s="1" t="s">
        <v>440</v>
      </c>
      <c r="B18" s="1" t="s">
        <v>457</v>
      </c>
      <c r="C18" s="1">
        <v>16</v>
      </c>
      <c r="D18" s="1">
        <v>-67.87</v>
      </c>
      <c r="E18">
        <v>0.163408</v>
      </c>
      <c r="F18">
        <v>9.22837</v>
      </c>
      <c r="G18">
        <f t="shared" si="1"/>
        <v>10.354726206676363</v>
      </c>
      <c r="H18">
        <f t="shared" si="0"/>
        <v>63.367314982597932</v>
      </c>
    </row>
    <row r="19" spans="1:8" x14ac:dyDescent="0.25">
      <c r="A19" s="1" t="s">
        <v>440</v>
      </c>
      <c r="B19" s="1" t="s">
        <v>458</v>
      </c>
      <c r="C19" s="1">
        <v>17</v>
      </c>
      <c r="D19" s="1">
        <v>-67.2</v>
      </c>
      <c r="E19">
        <v>0.34001199999999998</v>
      </c>
      <c r="F19">
        <v>20.699100000000001</v>
      </c>
      <c r="G19">
        <f t="shared" si="1"/>
        <v>27.467609465268268</v>
      </c>
      <c r="H19">
        <f t="shared" si="0"/>
        <v>80.784235454243586</v>
      </c>
    </row>
    <row r="20" spans="1:8" s="11" customFormat="1" ht="20.25" thickBot="1" x14ac:dyDescent="0.35"/>
    <row r="21" spans="1:8" ht="15.75" thickTop="1" x14ac:dyDescent="0.25">
      <c r="A21" s="4" t="s">
        <v>459</v>
      </c>
    </row>
    <row r="22" spans="1:8" x14ac:dyDescent="0.25">
      <c r="A22" s="1" t="s">
        <v>460</v>
      </c>
      <c r="B22" s="1" t="s">
        <v>461</v>
      </c>
      <c r="C22" s="1">
        <v>1</v>
      </c>
      <c r="D22" s="1">
        <v>-58.23</v>
      </c>
      <c r="E22">
        <v>0.14316699999999999</v>
      </c>
      <c r="F22">
        <v>5.2384500000000003</v>
      </c>
      <c r="G22">
        <f t="shared" si="1"/>
        <v>5.644693439434012</v>
      </c>
      <c r="H22">
        <f t="shared" si="0"/>
        <v>39.427336183855303</v>
      </c>
    </row>
    <row r="23" spans="1:8" x14ac:dyDescent="0.25">
      <c r="A23" s="1" t="s">
        <v>460</v>
      </c>
      <c r="B23" s="1" t="s">
        <v>462</v>
      </c>
      <c r="C23" s="1">
        <v>2</v>
      </c>
      <c r="D23" s="1">
        <v>-55.85</v>
      </c>
      <c r="E23">
        <v>0.16075700000000001</v>
      </c>
      <c r="F23">
        <v>6.7015000000000002</v>
      </c>
      <c r="G23">
        <f t="shared" si="1"/>
        <v>7.4131049856601869</v>
      </c>
      <c r="H23">
        <f t="shared" si="0"/>
        <v>46.113730572604531</v>
      </c>
    </row>
    <row r="24" spans="1:8" x14ac:dyDescent="0.25">
      <c r="A24" s="1" t="s">
        <v>460</v>
      </c>
      <c r="B24" s="1" t="s">
        <v>463</v>
      </c>
      <c r="C24" s="1">
        <v>3</v>
      </c>
      <c r="D24" s="1">
        <v>-56.87</v>
      </c>
      <c r="E24">
        <v>0.104155</v>
      </c>
      <c r="F24">
        <v>3.10439</v>
      </c>
      <c r="G24">
        <f t="shared" si="1"/>
        <v>3.246149288036396</v>
      </c>
      <c r="H24">
        <f t="shared" si="0"/>
        <v>31.166523815816774</v>
      </c>
    </row>
    <row r="25" spans="1:8" x14ac:dyDescent="0.25">
      <c r="A25" s="1" t="s">
        <v>460</v>
      </c>
      <c r="B25" s="1" t="s">
        <v>464</v>
      </c>
      <c r="C25" s="1">
        <v>4</v>
      </c>
      <c r="D25" s="1">
        <v>-53.41</v>
      </c>
      <c r="E25">
        <v>0.30538500000000002</v>
      </c>
      <c r="F25">
        <v>10.3741</v>
      </c>
      <c r="G25">
        <f t="shared" si="1"/>
        <v>12.282683162671756</v>
      </c>
      <c r="H25">
        <f t="shared" si="0"/>
        <v>40.220322421440983</v>
      </c>
    </row>
    <row r="26" spans="1:8" x14ac:dyDescent="0.25">
      <c r="A26" s="1" t="s">
        <v>460</v>
      </c>
      <c r="B26" s="1" t="s">
        <v>465</v>
      </c>
      <c r="C26" s="1">
        <v>5</v>
      </c>
      <c r="D26" s="1">
        <v>-60.36</v>
      </c>
      <c r="E26">
        <v>0.25461499999999998</v>
      </c>
      <c r="F26">
        <v>13.023</v>
      </c>
      <c r="G26">
        <f t="shared" si="1"/>
        <v>15.739749627564995</v>
      </c>
      <c r="H26">
        <f t="shared" si="0"/>
        <v>61.817841162402047</v>
      </c>
    </row>
    <row r="27" spans="1:8" x14ac:dyDescent="0.25">
      <c r="A27" s="1" t="s">
        <v>460</v>
      </c>
      <c r="B27" s="1" t="s">
        <v>466</v>
      </c>
      <c r="C27" s="1">
        <v>6</v>
      </c>
      <c r="D27" s="1">
        <v>-57.72</v>
      </c>
      <c r="E27">
        <v>8.9047000000000001E-2</v>
      </c>
      <c r="F27">
        <v>5.1410400000000003</v>
      </c>
      <c r="G27">
        <f t="shared" si="1"/>
        <v>5.5354692268019088</v>
      </c>
      <c r="H27">
        <f t="shared" si="0"/>
        <v>62.163455554953103</v>
      </c>
    </row>
    <row r="28" spans="1:8" x14ac:dyDescent="0.25">
      <c r="A28" s="1" t="s">
        <v>460</v>
      </c>
      <c r="B28" s="1" t="s">
        <v>467</v>
      </c>
      <c r="C28" s="1">
        <v>7</v>
      </c>
      <c r="D28" s="1">
        <v>-61.1</v>
      </c>
      <c r="E28">
        <v>6.6334299999999999E-2</v>
      </c>
      <c r="F28">
        <v>2.4738799999999999</v>
      </c>
      <c r="G28">
        <f t="shared" si="1"/>
        <v>2.5566944722894593</v>
      </c>
      <c r="H28">
        <f t="shared" si="0"/>
        <v>38.542571072423456</v>
      </c>
    </row>
    <row r="29" spans="1:8" x14ac:dyDescent="0.25">
      <c r="A29" s="1" t="s">
        <v>460</v>
      </c>
      <c r="B29" s="1" t="s">
        <v>468</v>
      </c>
      <c r="C29" s="1">
        <v>8</v>
      </c>
      <c r="D29" s="1">
        <v>-62.99</v>
      </c>
      <c r="E29">
        <v>7.7112200000000006E-2</v>
      </c>
      <c r="F29">
        <v>2.9373200000000002</v>
      </c>
      <c r="G29">
        <f t="shared" si="1"/>
        <v>3.0511435922711532</v>
      </c>
      <c r="H29">
        <f t="shared" si="0"/>
        <v>39.567585832995981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F17A-324F-447B-9314-43A3A3CFB523}">
  <dimension ref="A1:AF12"/>
  <sheetViews>
    <sheetView workbookViewId="0">
      <selection activeCell="C4" sqref="C4"/>
    </sheetView>
  </sheetViews>
  <sheetFormatPr defaultRowHeight="15" x14ac:dyDescent="0.25"/>
  <sheetData>
    <row r="1" spans="1:32" x14ac:dyDescent="0.25">
      <c r="A1" s="4" t="s">
        <v>469</v>
      </c>
      <c r="B1" s="5"/>
      <c r="L1" t="s">
        <v>470</v>
      </c>
      <c r="W1" t="s">
        <v>471</v>
      </c>
    </row>
    <row r="2" spans="1:32" ht="45" x14ac:dyDescent="0.25">
      <c r="A2" s="7" t="s">
        <v>3</v>
      </c>
      <c r="B2" s="8" t="s">
        <v>163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12" t="s">
        <v>110</v>
      </c>
      <c r="J2" s="20" t="s">
        <v>11</v>
      </c>
      <c r="L2" s="12" t="s">
        <v>395</v>
      </c>
      <c r="M2">
        <v>2</v>
      </c>
      <c r="N2">
        <v>3</v>
      </c>
      <c r="O2">
        <v>4</v>
      </c>
      <c r="P2">
        <v>5</v>
      </c>
      <c r="Q2">
        <v>6</v>
      </c>
      <c r="R2">
        <v>7</v>
      </c>
      <c r="S2">
        <v>8</v>
      </c>
      <c r="T2">
        <v>9</v>
      </c>
      <c r="U2">
        <v>10</v>
      </c>
      <c r="W2" t="s">
        <v>395</v>
      </c>
      <c r="X2">
        <v>2</v>
      </c>
      <c r="Y2">
        <v>3</v>
      </c>
      <c r="Z2">
        <v>4</v>
      </c>
      <c r="AA2">
        <v>5</v>
      </c>
      <c r="AB2">
        <v>6</v>
      </c>
      <c r="AC2">
        <v>7</v>
      </c>
      <c r="AD2">
        <v>8</v>
      </c>
      <c r="AE2">
        <v>9</v>
      </c>
      <c r="AF2">
        <v>10</v>
      </c>
    </row>
    <row r="3" spans="1:32" s="22" customFormat="1" x14ac:dyDescent="0.25">
      <c r="A3" s="22" t="s">
        <v>472</v>
      </c>
      <c r="B3" s="22" t="s">
        <v>473</v>
      </c>
      <c r="C3" s="22">
        <v>1</v>
      </c>
      <c r="D3" s="22">
        <f>-58.1-(-13.4)</f>
        <v>-44.7</v>
      </c>
      <c r="E3" s="22">
        <v>0.23574899999999999</v>
      </c>
      <c r="F3" s="22">
        <v>13.4422</v>
      </c>
      <c r="G3" s="22">
        <f>F3/(1-(0.8*(F3/ABS(D3))))</f>
        <v>17.700527068682714</v>
      </c>
      <c r="H3" s="22">
        <f>G3/E3</f>
        <v>75.082087596056468</v>
      </c>
      <c r="I3" s="22">
        <v>430</v>
      </c>
      <c r="L3" s="22">
        <v>13.1844</v>
      </c>
      <c r="M3" s="22">
        <v>13.095000000000001</v>
      </c>
      <c r="N3" s="22">
        <v>13.2285</v>
      </c>
      <c r="O3" s="22">
        <v>12.8233</v>
      </c>
      <c r="P3" s="22">
        <v>12.8626</v>
      </c>
      <c r="Q3" s="22">
        <v>11.8705</v>
      </c>
      <c r="R3" s="22">
        <v>11.244400000000001</v>
      </c>
      <c r="S3" s="22">
        <v>11.3218</v>
      </c>
      <c r="T3" s="22">
        <v>10.1479</v>
      </c>
      <c r="U3" s="22">
        <v>11.188800000000001</v>
      </c>
      <c r="W3" s="22">
        <f>L3/L3</f>
        <v>1</v>
      </c>
      <c r="X3" s="22">
        <f>M3/L3</f>
        <v>0.99321925912441977</v>
      </c>
      <c r="Y3" s="22">
        <f>N3/L3</f>
        <v>1.003344862109766</v>
      </c>
      <c r="Z3" s="22">
        <f>O3/L3</f>
        <v>0.97261157125087216</v>
      </c>
      <c r="AA3" s="22">
        <f>P3/L3</f>
        <v>0.97559236673644611</v>
      </c>
      <c r="AB3" s="22">
        <f>Q3/L3</f>
        <v>0.90034434634871507</v>
      </c>
      <c r="AC3" s="22">
        <f>R3/L3</f>
        <v>0.8528564060556415</v>
      </c>
      <c r="AD3" s="22">
        <f>S3/L3</f>
        <v>0.85872698037074113</v>
      </c>
      <c r="AE3" s="22">
        <f>T3/L3</f>
        <v>0.76968993659172957</v>
      </c>
      <c r="AF3" s="22">
        <f>U3/L3</f>
        <v>0.84863930099208162</v>
      </c>
    </row>
    <row r="4" spans="1:32" s="23" customFormat="1" x14ac:dyDescent="0.25">
      <c r="A4" s="23" t="s">
        <v>472</v>
      </c>
      <c r="B4" s="23" t="s">
        <v>474</v>
      </c>
      <c r="C4" s="23">
        <v>2</v>
      </c>
      <c r="D4" s="23">
        <f>-47.6-(-4.4)</f>
        <v>-43.2</v>
      </c>
      <c r="E4" s="23">
        <v>0.25718200000000002</v>
      </c>
      <c r="F4" s="23">
        <v>4.3906599999999996</v>
      </c>
      <c r="G4" s="23">
        <f t="shared" ref="G4:G12" si="0">F4/(1-(0.8*(F4/ABS(D4))))</f>
        <v>4.7792540678831843</v>
      </c>
      <c r="H4" s="23">
        <f>F3/(1-(0.8*(F3/ABS(D3))))</f>
        <v>17.700527068682714</v>
      </c>
      <c r="I4" s="23" t="s">
        <v>475</v>
      </c>
      <c r="J4" s="23" t="s">
        <v>476</v>
      </c>
      <c r="L4" s="23">
        <v>4.2795199999999998</v>
      </c>
      <c r="M4" s="23">
        <v>4.3020100000000001</v>
      </c>
      <c r="N4" s="23">
        <v>3.7966000000000002</v>
      </c>
      <c r="O4" s="23">
        <v>3.7672300000000001</v>
      </c>
      <c r="P4" s="23">
        <v>4.1049600000000002</v>
      </c>
      <c r="Q4" s="23">
        <v>3.7604000000000002</v>
      </c>
      <c r="R4" s="23">
        <v>3.4611000000000001</v>
      </c>
      <c r="S4" s="23">
        <v>3.2730600000000001</v>
      </c>
      <c r="T4" s="23">
        <v>2.8825400000000001</v>
      </c>
      <c r="U4" s="23">
        <v>2.6862300000000001</v>
      </c>
      <c r="W4" s="23">
        <f t="shared" ref="W4:W12" si="1">L4/L4</f>
        <v>1</v>
      </c>
      <c r="X4" s="23">
        <f t="shared" ref="X4:X12" si="2">M4/L4</f>
        <v>1.0052552622724045</v>
      </c>
      <c r="Y4" s="23">
        <f t="shared" ref="Y4:Y12" si="3">N4/L4</f>
        <v>0.88715556884884295</v>
      </c>
      <c r="Z4" s="23">
        <f t="shared" ref="Z4:Z12" si="4">O4/L4</f>
        <v>0.88029264964295073</v>
      </c>
      <c r="AA4" s="23">
        <f t="shared" ref="AA4:AA12" si="5">P4/L4</f>
        <v>0.95921037873406367</v>
      </c>
      <c r="AB4" s="23">
        <f t="shared" ref="AB4:AB12" si="6">Q4/L4</f>
        <v>0.87869667626275849</v>
      </c>
      <c r="AC4" s="23">
        <f t="shared" ref="AC4:AC12" si="7">R4/L4</f>
        <v>0.80875892623471801</v>
      </c>
      <c r="AD4" s="23">
        <f t="shared" ref="AD4:AD12" si="8">S4/L4</f>
        <v>0.76481941900026174</v>
      </c>
      <c r="AE4" s="23">
        <f t="shared" ref="AE4:AE12" si="9">T4/L4</f>
        <v>0.67356619433955212</v>
      </c>
      <c r="AF4" s="23">
        <f t="shared" ref="AF4:AF12" si="10">U4/L4</f>
        <v>0.6276942273899877</v>
      </c>
    </row>
    <row r="5" spans="1:32" x14ac:dyDescent="0.25">
      <c r="A5" t="s">
        <v>472</v>
      </c>
      <c r="B5" t="s">
        <v>477</v>
      </c>
      <c r="C5">
        <v>3</v>
      </c>
      <c r="D5">
        <f>-58.6-(-10)</f>
        <v>-48.6</v>
      </c>
      <c r="E5">
        <v>0.228515</v>
      </c>
      <c r="F5">
        <v>17.515999999999998</v>
      </c>
      <c r="G5">
        <f t="shared" si="0"/>
        <v>24.612504047740202</v>
      </c>
      <c r="H5">
        <f t="shared" ref="H5:H12" si="11">G5/E5</f>
        <v>107.70629520049101</v>
      </c>
      <c r="I5">
        <v>487</v>
      </c>
      <c r="J5" s="24" t="s">
        <v>478</v>
      </c>
      <c r="L5">
        <v>16.450099999999999</v>
      </c>
      <c r="M5">
        <v>17.7331</v>
      </c>
      <c r="N5">
        <v>17.128499999999999</v>
      </c>
      <c r="O5">
        <v>16.7346</v>
      </c>
      <c r="P5">
        <v>15.0847</v>
      </c>
      <c r="Q5">
        <v>13.576499999999999</v>
      </c>
      <c r="R5">
        <v>13.473599999999999</v>
      </c>
      <c r="S5">
        <v>13.250999999999999</v>
      </c>
      <c r="T5">
        <v>11.9055</v>
      </c>
      <c r="U5" s="25" t="s">
        <v>479</v>
      </c>
      <c r="W5">
        <f t="shared" si="1"/>
        <v>1</v>
      </c>
      <c r="X5">
        <f t="shared" si="2"/>
        <v>1.0779934468483474</v>
      </c>
      <c r="Y5">
        <f t="shared" si="3"/>
        <v>1.0412398708822439</v>
      </c>
      <c r="Z5">
        <f t="shared" si="4"/>
        <v>1.0172947276916251</v>
      </c>
      <c r="AA5">
        <f t="shared" si="5"/>
        <v>0.91699746506100266</v>
      </c>
      <c r="AB5">
        <f t="shared" si="6"/>
        <v>0.82531413182898583</v>
      </c>
      <c r="AC5">
        <f t="shared" si="7"/>
        <v>0.81905885070607476</v>
      </c>
      <c r="AD5">
        <f t="shared" si="8"/>
        <v>0.80552701807283844</v>
      </c>
      <c r="AE5">
        <f t="shared" si="9"/>
        <v>0.72373420222369478</v>
      </c>
      <c r="AF5" s="25" t="s">
        <v>479</v>
      </c>
    </row>
    <row r="6" spans="1:32" x14ac:dyDescent="0.25">
      <c r="A6" t="s">
        <v>472</v>
      </c>
      <c r="B6" t="s">
        <v>480</v>
      </c>
      <c r="C6">
        <v>4</v>
      </c>
      <c r="D6">
        <f>-61.9-(-5.1)</f>
        <v>-56.8</v>
      </c>
      <c r="E6">
        <v>0.43620999999999999</v>
      </c>
      <c r="F6">
        <v>18.5547</v>
      </c>
      <c r="G6">
        <f t="shared" si="0"/>
        <v>25.119194665680244</v>
      </c>
      <c r="H6">
        <f t="shared" si="11"/>
        <v>57.585095861351746</v>
      </c>
      <c r="I6">
        <v>401</v>
      </c>
      <c r="J6" s="24" t="s">
        <v>481</v>
      </c>
      <c r="L6">
        <v>18.5458</v>
      </c>
      <c r="M6">
        <v>20.689800000000002</v>
      </c>
      <c r="N6">
        <v>19.865200000000002</v>
      </c>
      <c r="O6">
        <v>19.302900000000001</v>
      </c>
      <c r="P6">
        <v>19.0992</v>
      </c>
      <c r="Q6">
        <v>16.805800000000001</v>
      </c>
      <c r="R6">
        <v>16.907900000000001</v>
      </c>
      <c r="S6">
        <v>16.200199999999999</v>
      </c>
      <c r="T6">
        <v>15.7118</v>
      </c>
      <c r="U6">
        <v>14.8843</v>
      </c>
      <c r="W6">
        <f t="shared" si="1"/>
        <v>1</v>
      </c>
      <c r="X6">
        <f t="shared" si="2"/>
        <v>1.1156056896979372</v>
      </c>
      <c r="Y6">
        <f t="shared" si="3"/>
        <v>1.0711427924381802</v>
      </c>
      <c r="Z6">
        <f t="shared" si="4"/>
        <v>1.0408232591745841</v>
      </c>
      <c r="AA6">
        <f t="shared" si="5"/>
        <v>1.0298396402419956</v>
      </c>
      <c r="AB6">
        <f t="shared" si="6"/>
        <v>0.90617821824887579</v>
      </c>
      <c r="AC6">
        <f t="shared" si="7"/>
        <v>0.91168350785622632</v>
      </c>
      <c r="AD6">
        <f t="shared" si="8"/>
        <v>0.87352392455434646</v>
      </c>
      <c r="AE6">
        <f t="shared" si="9"/>
        <v>0.84718912098696197</v>
      </c>
      <c r="AF6">
        <f t="shared" si="10"/>
        <v>0.80256985409095316</v>
      </c>
    </row>
    <row r="7" spans="1:32" x14ac:dyDescent="0.25">
      <c r="A7" t="s">
        <v>472</v>
      </c>
      <c r="B7" t="s">
        <v>482</v>
      </c>
      <c r="C7">
        <v>5</v>
      </c>
      <c r="D7">
        <f>-55.4-(-2.2)</f>
        <v>-53.199999999999996</v>
      </c>
      <c r="E7">
        <v>0.429012</v>
      </c>
      <c r="F7">
        <v>19.821100000000001</v>
      </c>
      <c r="G7">
        <f t="shared" si="0"/>
        <v>28.23766519776602</v>
      </c>
      <c r="H7">
        <f t="shared" si="11"/>
        <v>65.820222272957452</v>
      </c>
      <c r="I7">
        <v>358</v>
      </c>
      <c r="L7">
        <v>18.781600000000001</v>
      </c>
      <c r="M7">
        <v>19.744599999999998</v>
      </c>
      <c r="N7">
        <v>18.496099999999998</v>
      </c>
      <c r="O7">
        <v>19.5867</v>
      </c>
      <c r="P7">
        <v>18.3185</v>
      </c>
      <c r="Q7">
        <v>18.5608</v>
      </c>
      <c r="R7">
        <v>15.725300000000001</v>
      </c>
      <c r="S7">
        <v>15.748100000000001</v>
      </c>
      <c r="T7">
        <v>14.852499999999999</v>
      </c>
      <c r="U7">
        <v>14.4734</v>
      </c>
      <c r="W7">
        <f t="shared" si="1"/>
        <v>1</v>
      </c>
      <c r="X7">
        <f t="shared" si="2"/>
        <v>1.0512735869148526</v>
      </c>
      <c r="Y7">
        <f t="shared" si="3"/>
        <v>0.98479895216594948</v>
      </c>
      <c r="Z7">
        <f t="shared" si="4"/>
        <v>1.0428664224560207</v>
      </c>
      <c r="AA7">
        <f t="shared" si="5"/>
        <v>0.97534288878476805</v>
      </c>
      <c r="AB7">
        <f t="shared" si="6"/>
        <v>0.98824381309366616</v>
      </c>
      <c r="AC7">
        <f t="shared" si="7"/>
        <v>0.83727158495548837</v>
      </c>
      <c r="AD7">
        <f t="shared" si="8"/>
        <v>0.83848553903820766</v>
      </c>
      <c r="AE7">
        <f t="shared" si="9"/>
        <v>0.79080057077139321</v>
      </c>
      <c r="AF7">
        <f t="shared" si="10"/>
        <v>0.77061592196617956</v>
      </c>
    </row>
    <row r="8" spans="1:32" x14ac:dyDescent="0.25">
      <c r="A8" t="s">
        <v>472</v>
      </c>
      <c r="B8" t="s">
        <v>483</v>
      </c>
      <c r="C8">
        <v>6</v>
      </c>
      <c r="D8">
        <f>-52.2-(-3.8)</f>
        <v>-48.400000000000006</v>
      </c>
      <c r="E8">
        <v>0.121298</v>
      </c>
      <c r="F8">
        <v>7.4541599999999999</v>
      </c>
      <c r="G8">
        <f t="shared" si="0"/>
        <v>8.5016408449748369</v>
      </c>
      <c r="H8">
        <f t="shared" si="11"/>
        <v>70.088879000270708</v>
      </c>
      <c r="I8" t="s">
        <v>475</v>
      </c>
      <c r="J8" s="24" t="s">
        <v>478</v>
      </c>
      <c r="L8">
        <v>7.0427600000000004</v>
      </c>
      <c r="M8">
        <v>7.4855799999999997</v>
      </c>
      <c r="N8">
        <v>7.4186699999999997</v>
      </c>
      <c r="O8">
        <v>7.3834299999999997</v>
      </c>
      <c r="P8">
        <v>6.5620099999999999</v>
      </c>
      <c r="Q8">
        <v>6.4142799999999998</v>
      </c>
      <c r="R8">
        <v>5.6289499999999997</v>
      </c>
      <c r="S8">
        <v>5.73949</v>
      </c>
      <c r="T8">
        <v>4.9965400000000004</v>
      </c>
      <c r="U8">
        <v>5.2292100000000001</v>
      </c>
      <c r="W8">
        <f t="shared" si="1"/>
        <v>1</v>
      </c>
      <c r="X8">
        <f t="shared" si="2"/>
        <v>1.06287591796398</v>
      </c>
      <c r="Y8">
        <f t="shared" si="3"/>
        <v>1.053375381242581</v>
      </c>
      <c r="Z8">
        <f t="shared" si="4"/>
        <v>1.0483716611101328</v>
      </c>
      <c r="AA8">
        <f t="shared" si="5"/>
        <v>0.93173840937359775</v>
      </c>
      <c r="AB8">
        <f t="shared" si="6"/>
        <v>0.91076225797840615</v>
      </c>
      <c r="AC8">
        <f t="shared" si="7"/>
        <v>0.79925341769419933</v>
      </c>
      <c r="AD8">
        <f t="shared" si="8"/>
        <v>0.81494896887015877</v>
      </c>
      <c r="AE8">
        <f t="shared" si="9"/>
        <v>0.70945765580539455</v>
      </c>
      <c r="AF8">
        <f t="shared" si="10"/>
        <v>0.74249441980132791</v>
      </c>
    </row>
    <row r="9" spans="1:32" s="22" customFormat="1" x14ac:dyDescent="0.25">
      <c r="A9" s="22" t="s">
        <v>472</v>
      </c>
      <c r="B9" s="22" t="s">
        <v>484</v>
      </c>
      <c r="C9" s="22">
        <v>7</v>
      </c>
      <c r="D9" s="22">
        <f>-56.9-(-2.9)</f>
        <v>-54</v>
      </c>
      <c r="E9" s="22">
        <v>0.28431600000000001</v>
      </c>
      <c r="F9" s="22">
        <v>11.7919</v>
      </c>
      <c r="G9" s="22">
        <f t="shared" si="0"/>
        <v>14.287926710837384</v>
      </c>
      <c r="H9" s="22">
        <f t="shared" si="11"/>
        <v>50.253685022430616</v>
      </c>
      <c r="I9" s="22">
        <v>268</v>
      </c>
      <c r="L9" s="22">
        <v>11.8773</v>
      </c>
      <c r="M9" s="22">
        <v>12.430400000000001</v>
      </c>
      <c r="N9" s="22">
        <v>11.5284</v>
      </c>
      <c r="O9" s="22">
        <v>11.9854</v>
      </c>
      <c r="P9" s="22">
        <v>11.5473</v>
      </c>
      <c r="Q9" s="22">
        <v>11.6823</v>
      </c>
      <c r="R9" s="22">
        <v>11.032</v>
      </c>
      <c r="S9" s="22">
        <v>10.88</v>
      </c>
      <c r="T9" s="22">
        <v>10.317600000000001</v>
      </c>
      <c r="U9" s="22">
        <v>10.140700000000001</v>
      </c>
      <c r="W9" s="22">
        <f t="shared" si="1"/>
        <v>1</v>
      </c>
      <c r="X9" s="22">
        <f t="shared" si="2"/>
        <v>1.0465678226532966</v>
      </c>
      <c r="Y9" s="22">
        <f t="shared" si="3"/>
        <v>0.97062463691242951</v>
      </c>
      <c r="Z9" s="22">
        <f t="shared" si="4"/>
        <v>1.0091013950982126</v>
      </c>
      <c r="AA9" s="22">
        <f t="shared" si="5"/>
        <v>0.97221590765578036</v>
      </c>
      <c r="AB9" s="22">
        <f t="shared" si="6"/>
        <v>0.98358212725114291</v>
      </c>
      <c r="AC9" s="22">
        <f t="shared" si="7"/>
        <v>0.92883062648918524</v>
      </c>
      <c r="AD9" s="22">
        <f t="shared" si="8"/>
        <v>0.91603310516699932</v>
      </c>
      <c r="AE9" s="22">
        <f t="shared" si="9"/>
        <v>0.86868227627491101</v>
      </c>
      <c r="AF9" s="22">
        <f t="shared" si="10"/>
        <v>0.85378831889402484</v>
      </c>
    </row>
    <row r="10" spans="1:32" x14ac:dyDescent="0.25">
      <c r="A10" t="s">
        <v>472</v>
      </c>
      <c r="B10" t="s">
        <v>485</v>
      </c>
      <c r="C10">
        <v>8</v>
      </c>
      <c r="D10">
        <f>-57-(-2.3)</f>
        <v>-54.7</v>
      </c>
      <c r="E10">
        <v>0.18005199999999999</v>
      </c>
      <c r="F10">
        <v>9.6664700000000003</v>
      </c>
      <c r="G10">
        <f t="shared" si="0"/>
        <v>11.258072485378189</v>
      </c>
      <c r="H10">
        <f t="shared" si="11"/>
        <v>62.526783847878335</v>
      </c>
      <c r="I10">
        <v>192</v>
      </c>
      <c r="J10" s="24" t="s">
        <v>478</v>
      </c>
      <c r="L10">
        <v>9.2824399999999994</v>
      </c>
      <c r="M10">
        <v>9.9602699999999995</v>
      </c>
      <c r="N10">
        <v>9.7756500000000006</v>
      </c>
      <c r="O10">
        <v>9.4700399999999991</v>
      </c>
      <c r="P10">
        <v>9.5418099999999999</v>
      </c>
      <c r="Q10">
        <v>8.6108399999999996</v>
      </c>
      <c r="R10">
        <v>7.7508900000000001</v>
      </c>
      <c r="S10">
        <v>8.4588800000000006</v>
      </c>
      <c r="T10">
        <v>8.3804200000000009</v>
      </c>
      <c r="U10">
        <v>7.4811699999999997</v>
      </c>
      <c r="W10">
        <f t="shared" si="1"/>
        <v>1</v>
      </c>
      <c r="X10">
        <f t="shared" si="2"/>
        <v>1.0730228258949155</v>
      </c>
      <c r="Y10">
        <f t="shared" si="3"/>
        <v>1.0531336588224649</v>
      </c>
      <c r="Z10">
        <f t="shared" si="4"/>
        <v>1.0202102033517049</v>
      </c>
      <c r="AA10">
        <f t="shared" si="5"/>
        <v>1.0279420066275677</v>
      </c>
      <c r="AB10">
        <f t="shared" si="6"/>
        <v>0.92764833384325673</v>
      </c>
      <c r="AC10">
        <f t="shared" si="7"/>
        <v>0.83500566661351983</v>
      </c>
      <c r="AD10">
        <f t="shared" si="8"/>
        <v>0.91127763820719565</v>
      </c>
      <c r="AE10">
        <f t="shared" si="9"/>
        <v>0.9028251192574368</v>
      </c>
      <c r="AF10">
        <f t="shared" si="10"/>
        <v>0.80594865143216654</v>
      </c>
    </row>
    <row r="11" spans="1:32" s="23" customFormat="1" x14ac:dyDescent="0.25">
      <c r="A11" s="23" t="s">
        <v>472</v>
      </c>
      <c r="B11" s="23" t="s">
        <v>486</v>
      </c>
      <c r="C11" s="23">
        <v>9</v>
      </c>
      <c r="D11" s="23">
        <f>-54.1-(-3.2)</f>
        <v>-50.9</v>
      </c>
      <c r="E11" s="23">
        <v>0.15570400000000001</v>
      </c>
      <c r="F11" s="23">
        <v>13.164199999999999</v>
      </c>
      <c r="G11" s="23">
        <f t="shared" si="0"/>
        <v>16.598472973080092</v>
      </c>
      <c r="H11" s="23">
        <f t="shared" si="11"/>
        <v>106.6027396411145</v>
      </c>
      <c r="I11" s="23">
        <v>424</v>
      </c>
      <c r="L11" s="23">
        <v>12.9687</v>
      </c>
      <c r="M11" s="23">
        <v>13.891400000000001</v>
      </c>
      <c r="N11" s="23">
        <v>12.895799999999999</v>
      </c>
      <c r="O11" s="23">
        <v>12.1425</v>
      </c>
      <c r="P11" s="23">
        <v>11.8218</v>
      </c>
      <c r="Q11" s="23">
        <v>10.652799999999999</v>
      </c>
      <c r="R11" s="23">
        <v>9.6122399999999999</v>
      </c>
      <c r="S11" s="23">
        <v>8.9625800000000009</v>
      </c>
      <c r="T11" s="23">
        <v>9.44543</v>
      </c>
      <c r="U11" s="23">
        <v>8.7041000000000004</v>
      </c>
      <c r="W11" s="23">
        <f t="shared" si="1"/>
        <v>1</v>
      </c>
      <c r="X11" s="23">
        <f t="shared" si="2"/>
        <v>1.0711482261136429</v>
      </c>
      <c r="Y11" s="23">
        <f t="shared" si="3"/>
        <v>0.99437877350852433</v>
      </c>
      <c r="Z11" s="23">
        <f t="shared" si="4"/>
        <v>0.93629276642994286</v>
      </c>
      <c r="AA11" s="23">
        <f t="shared" si="5"/>
        <v>0.91156399639131136</v>
      </c>
      <c r="AB11" s="23">
        <f t="shared" si="6"/>
        <v>0.82142388982704506</v>
      </c>
      <c r="AC11" s="23">
        <f t="shared" si="7"/>
        <v>0.74118762867519483</v>
      </c>
      <c r="AD11" s="23">
        <f t="shared" si="8"/>
        <v>0.69109317047969343</v>
      </c>
      <c r="AE11" s="23">
        <f t="shared" si="9"/>
        <v>0.72832512125347948</v>
      </c>
      <c r="AF11" s="23">
        <f t="shared" si="10"/>
        <v>0.67116210568522672</v>
      </c>
    </row>
    <row r="12" spans="1:32" s="23" customFormat="1" x14ac:dyDescent="0.25">
      <c r="A12" s="23" t="s">
        <v>472</v>
      </c>
      <c r="B12" s="23" t="s">
        <v>487</v>
      </c>
      <c r="C12" s="23">
        <v>10</v>
      </c>
      <c r="D12" s="23">
        <f>-47.9-(0)</f>
        <v>-47.9</v>
      </c>
      <c r="E12" s="23">
        <v>0.26475599999999999</v>
      </c>
      <c r="F12" s="23">
        <v>12.183400000000001</v>
      </c>
      <c r="G12" s="23">
        <f t="shared" si="0"/>
        <v>15.29579789732364</v>
      </c>
      <c r="H12" s="23">
        <f t="shared" si="11"/>
        <v>57.773186999817341</v>
      </c>
      <c r="I12" s="23">
        <v>490</v>
      </c>
      <c r="L12" s="23">
        <v>11.2036</v>
      </c>
      <c r="M12" s="23">
        <v>10.695499999999999</v>
      </c>
      <c r="N12" s="23">
        <v>10.9915</v>
      </c>
      <c r="O12" s="23">
        <v>9.9894300000000005</v>
      </c>
      <c r="P12" s="23">
        <v>9.3993000000000002</v>
      </c>
      <c r="Q12" s="23">
        <v>9.0222499999999997</v>
      </c>
      <c r="R12" s="23">
        <v>7.5621299999999998</v>
      </c>
      <c r="S12" s="23">
        <v>8.4469899999999996</v>
      </c>
      <c r="T12" s="23">
        <v>8.3690899999999999</v>
      </c>
      <c r="U12" s="23">
        <v>6.3763899999999998</v>
      </c>
      <c r="W12" s="23">
        <f t="shared" si="1"/>
        <v>1</v>
      </c>
      <c r="X12" s="23">
        <f t="shared" si="2"/>
        <v>0.95464850583740934</v>
      </c>
      <c r="Y12" s="23">
        <f t="shared" si="3"/>
        <v>0.98106858509764727</v>
      </c>
      <c r="Z12" s="23">
        <f t="shared" si="4"/>
        <v>0.89162679852904425</v>
      </c>
      <c r="AA12" s="23">
        <f t="shared" si="5"/>
        <v>0.83895355064443577</v>
      </c>
      <c r="AB12" s="23">
        <f t="shared" si="6"/>
        <v>0.80529918954621726</v>
      </c>
      <c r="AC12" s="23">
        <f t="shared" si="7"/>
        <v>0.67497322289264161</v>
      </c>
      <c r="AD12" s="23">
        <f t="shared" si="8"/>
        <v>0.75395319361633761</v>
      </c>
      <c r="AE12" s="23">
        <f t="shared" si="9"/>
        <v>0.74700007140561964</v>
      </c>
      <c r="AF12" s="23">
        <f t="shared" si="10"/>
        <v>0.56913759862901214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3CB07-7BAE-4CEB-A42E-07716CFE8EAB}">
  <dimension ref="A1:H10"/>
  <sheetViews>
    <sheetView workbookViewId="0">
      <selection activeCell="C4" sqref="C4"/>
    </sheetView>
  </sheetViews>
  <sheetFormatPr defaultRowHeight="15" x14ac:dyDescent="0.25"/>
  <cols>
    <col min="1" max="1" width="36.42578125" bestFit="1" customWidth="1"/>
  </cols>
  <sheetData>
    <row r="1" spans="1:8" x14ac:dyDescent="0.25">
      <c r="A1" s="4" t="s">
        <v>488</v>
      </c>
      <c r="B1" s="5"/>
    </row>
    <row r="2" spans="1:8" ht="45" x14ac:dyDescent="0.25">
      <c r="A2" s="7" t="s">
        <v>3</v>
      </c>
      <c r="B2" s="8" t="s">
        <v>163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</row>
    <row r="3" spans="1:8" x14ac:dyDescent="0.25">
      <c r="A3" s="9">
        <v>43385</v>
      </c>
      <c r="B3" t="s">
        <v>489</v>
      </c>
      <c r="C3">
        <v>1</v>
      </c>
      <c r="D3">
        <v>-71.55</v>
      </c>
      <c r="E3">
        <v>0.28434599999999999</v>
      </c>
      <c r="F3">
        <v>20.686900000000001</v>
      </c>
      <c r="G3">
        <f>F3/(1-(0.8*(F3/ABS(D3))))</f>
        <v>26.911541408365895</v>
      </c>
      <c r="H3">
        <f>G3/E3</f>
        <v>94.643643337222599</v>
      </c>
    </row>
    <row r="4" spans="1:8" x14ac:dyDescent="0.25">
      <c r="A4" s="9">
        <v>43385</v>
      </c>
      <c r="B4" t="s">
        <v>490</v>
      </c>
      <c r="C4">
        <v>2</v>
      </c>
      <c r="D4">
        <f>-92.08-(-15.1)</f>
        <v>-76.98</v>
      </c>
      <c r="E4">
        <v>0.352632</v>
      </c>
      <c r="F4">
        <v>29.0901</v>
      </c>
      <c r="G4">
        <f t="shared" ref="G4:G10" si="0">F4/(1-(0.8*(F4/ABS(D4))))</f>
        <v>41.695077709209365</v>
      </c>
      <c r="H4">
        <f t="shared" ref="H4:H10" si="1">G4/E4</f>
        <v>118.2396314265562</v>
      </c>
    </row>
    <row r="5" spans="1:8" x14ac:dyDescent="0.25">
      <c r="A5" s="9">
        <v>43385</v>
      </c>
      <c r="B5" t="s">
        <v>491</v>
      </c>
      <c r="C5">
        <v>3</v>
      </c>
      <c r="D5">
        <f>-74.37-(-4.7)</f>
        <v>-69.67</v>
      </c>
      <c r="E5">
        <v>0.24384600000000001</v>
      </c>
      <c r="F5">
        <v>21.614100000000001</v>
      </c>
      <c r="G5">
        <f t="shared" si="0"/>
        <v>28.749353687909903</v>
      </c>
      <c r="H5">
        <f t="shared" si="1"/>
        <v>117.89963209529745</v>
      </c>
    </row>
    <row r="6" spans="1:8" x14ac:dyDescent="0.25">
      <c r="A6" s="9">
        <v>43385</v>
      </c>
      <c r="B6" t="s">
        <v>492</v>
      </c>
      <c r="C6">
        <v>4</v>
      </c>
      <c r="D6">
        <f>-80.7-1.6</f>
        <v>-82.3</v>
      </c>
      <c r="E6">
        <v>0.32633400000000001</v>
      </c>
      <c r="F6">
        <v>25.230799999999999</v>
      </c>
      <c r="G6">
        <f t="shared" si="0"/>
        <v>33.429651538685441</v>
      </c>
      <c r="H6">
        <f t="shared" si="1"/>
        <v>102.43998951591142</v>
      </c>
    </row>
    <row r="7" spans="1:8" x14ac:dyDescent="0.25">
      <c r="A7" s="9">
        <v>43385</v>
      </c>
      <c r="B7" t="s">
        <v>493</v>
      </c>
      <c r="C7">
        <v>5</v>
      </c>
      <c r="D7">
        <f>-69.38-(-6.3)</f>
        <v>-63.08</v>
      </c>
      <c r="E7">
        <v>0.32863999999999999</v>
      </c>
      <c r="F7">
        <v>22.113600000000002</v>
      </c>
      <c r="G7">
        <f t="shared" si="0"/>
        <v>30.732604818070943</v>
      </c>
      <c r="H7">
        <f t="shared" si="1"/>
        <v>93.514498594422292</v>
      </c>
    </row>
    <row r="8" spans="1:8" x14ac:dyDescent="0.25">
      <c r="A8" s="9">
        <v>43385</v>
      </c>
      <c r="B8" t="s">
        <v>494</v>
      </c>
      <c r="C8">
        <v>6</v>
      </c>
      <c r="D8">
        <f>-65.14-2.8</f>
        <v>-67.94</v>
      </c>
      <c r="E8">
        <v>0.37226799999999999</v>
      </c>
      <c r="F8">
        <v>23.103034973144499</v>
      </c>
      <c r="G8">
        <f t="shared" si="0"/>
        <v>31.736701417400621</v>
      </c>
      <c r="H8">
        <f t="shared" si="1"/>
        <v>85.252295167461668</v>
      </c>
    </row>
    <row r="9" spans="1:8" x14ac:dyDescent="0.25">
      <c r="A9" s="9">
        <v>43385</v>
      </c>
      <c r="B9" t="s">
        <v>495</v>
      </c>
      <c r="C9">
        <v>7</v>
      </c>
      <c r="D9">
        <f>-70.1-(-1.2)</f>
        <v>-68.899999999999991</v>
      </c>
      <c r="E9">
        <v>0.30449500000000002</v>
      </c>
      <c r="F9">
        <v>19.953499999999998</v>
      </c>
      <c r="G9">
        <f t="shared" si="0"/>
        <v>25.970322381992247</v>
      </c>
      <c r="H9">
        <f t="shared" si="1"/>
        <v>85.289815537175471</v>
      </c>
    </row>
    <row r="10" spans="1:8" x14ac:dyDescent="0.25">
      <c r="A10" s="9">
        <v>43385</v>
      </c>
      <c r="B10" t="s">
        <v>496</v>
      </c>
      <c r="C10">
        <v>8</v>
      </c>
      <c r="D10">
        <v>-72.2</v>
      </c>
      <c r="E10">
        <v>0.24815499999999999</v>
      </c>
      <c r="F10">
        <v>17.0608</v>
      </c>
      <c r="G10">
        <f t="shared" si="0"/>
        <v>21.037765134746657</v>
      </c>
      <c r="H10">
        <f t="shared" si="1"/>
        <v>84.776712678554361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6533-28B5-4D6C-86C5-4BB694C7CF9E}">
  <dimension ref="A1:I21"/>
  <sheetViews>
    <sheetView workbookViewId="0">
      <selection activeCell="C4" sqref="C4"/>
    </sheetView>
  </sheetViews>
  <sheetFormatPr defaultRowHeight="15" x14ac:dyDescent="0.25"/>
  <cols>
    <col min="1" max="1" width="10.5703125" bestFit="1" customWidth="1"/>
  </cols>
  <sheetData>
    <row r="1" spans="1:9" x14ac:dyDescent="0.25">
      <c r="A1" s="4" t="s">
        <v>497</v>
      </c>
      <c r="B1" s="5"/>
    </row>
    <row r="2" spans="1:9" ht="45" x14ac:dyDescent="0.25">
      <c r="A2" s="7" t="s">
        <v>3</v>
      </c>
      <c r="B2" s="8" t="s">
        <v>109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12" t="s">
        <v>12</v>
      </c>
    </row>
    <row r="3" spans="1:9" x14ac:dyDescent="0.25">
      <c r="A3" s="9">
        <v>43619</v>
      </c>
      <c r="B3" s="6" t="s">
        <v>498</v>
      </c>
      <c r="C3">
        <v>1</v>
      </c>
      <c r="D3">
        <v>-59.88</v>
      </c>
      <c r="E3">
        <v>0.12701000000000001</v>
      </c>
      <c r="F3">
        <v>8.9190000000000005</v>
      </c>
      <c r="G3">
        <f>F3/(1-(0.8*(F3/ABS(D3))))</f>
        <v>10.125542612731493</v>
      </c>
      <c r="H3">
        <f>G3/E3</f>
        <v>79.722404635316053</v>
      </c>
      <c r="I3">
        <f>1.95/E3</f>
        <v>15.353121801432957</v>
      </c>
    </row>
    <row r="4" spans="1:9" x14ac:dyDescent="0.25">
      <c r="A4" s="9">
        <v>43619</v>
      </c>
      <c r="B4" s="6" t="s">
        <v>499</v>
      </c>
      <c r="C4">
        <v>2</v>
      </c>
      <c r="D4">
        <v>-51.87</v>
      </c>
      <c r="E4">
        <v>0.29994900000000002</v>
      </c>
      <c r="F4">
        <v>8.8314599999999999</v>
      </c>
      <c r="G4">
        <f t="shared" ref="G4:G21" si="0">F4/(1-(0.8*(F4/ABS(D4))))</f>
        <v>10.224072042051178</v>
      </c>
      <c r="H4">
        <f t="shared" ref="H4:H8" si="1">G4/E4</f>
        <v>34.086034766080822</v>
      </c>
    </row>
    <row r="5" spans="1:9" x14ac:dyDescent="0.25">
      <c r="A5" s="9">
        <v>43619</v>
      </c>
      <c r="B5" s="6" t="s">
        <v>500</v>
      </c>
      <c r="C5">
        <v>3</v>
      </c>
      <c r="D5">
        <v>-60.45</v>
      </c>
      <c r="E5">
        <v>0.43241800000000002</v>
      </c>
      <c r="F5">
        <v>13.0288</v>
      </c>
      <c r="G5">
        <f t="shared" si="0"/>
        <v>15.743330396250341</v>
      </c>
      <c r="H5">
        <f t="shared" si="1"/>
        <v>36.407666647203264</v>
      </c>
    </row>
    <row r="6" spans="1:9" x14ac:dyDescent="0.25">
      <c r="A6" s="9">
        <v>43619</v>
      </c>
      <c r="B6" s="6" t="s">
        <v>501</v>
      </c>
      <c r="C6">
        <v>4</v>
      </c>
      <c r="D6">
        <v>-71.400000000000006</v>
      </c>
      <c r="E6">
        <v>0.31189699999999998</v>
      </c>
      <c r="F6">
        <v>22.0411</v>
      </c>
      <c r="G6">
        <f t="shared" si="0"/>
        <v>29.269459476349112</v>
      </c>
      <c r="H6">
        <f t="shared" si="1"/>
        <v>93.84335045335196</v>
      </c>
      <c r="I6">
        <f>2.61/E6</f>
        <v>8.3681471767923394</v>
      </c>
    </row>
    <row r="7" spans="1:9" x14ac:dyDescent="0.25">
      <c r="A7" s="9">
        <v>43619</v>
      </c>
      <c r="B7" s="6" t="s">
        <v>502</v>
      </c>
      <c r="C7">
        <v>5</v>
      </c>
      <c r="D7">
        <v>-53.86</v>
      </c>
      <c r="E7">
        <v>0.30535499999999999</v>
      </c>
      <c r="F7">
        <v>9.5922800000000006</v>
      </c>
      <c r="G7">
        <f t="shared" si="0"/>
        <v>11.186035423240062</v>
      </c>
      <c r="H7">
        <f t="shared" si="1"/>
        <v>36.632887698711542</v>
      </c>
      <c r="I7">
        <f>0.84/E7</f>
        <v>2.7508964975192809</v>
      </c>
    </row>
    <row r="8" spans="1:9" x14ac:dyDescent="0.25">
      <c r="A8" s="9">
        <v>43619</v>
      </c>
      <c r="B8" s="6" t="s">
        <v>503</v>
      </c>
      <c r="C8">
        <v>6</v>
      </c>
      <c r="D8">
        <v>-69.069999999999993</v>
      </c>
      <c r="E8">
        <v>0.207648</v>
      </c>
      <c r="F8">
        <v>10.3344</v>
      </c>
      <c r="G8">
        <f t="shared" si="0"/>
        <v>11.739603516172368</v>
      </c>
      <c r="H8">
        <f t="shared" si="1"/>
        <v>56.536077959683539</v>
      </c>
    </row>
    <row r="9" spans="1:9" s="11" customFormat="1" ht="20.25" thickBot="1" x14ac:dyDescent="0.35"/>
    <row r="10" spans="1:9" ht="15.75" thickTop="1" x14ac:dyDescent="0.25">
      <c r="A10" s="9">
        <v>43662</v>
      </c>
      <c r="B10" s="6" t="s">
        <v>504</v>
      </c>
      <c r="C10">
        <v>1</v>
      </c>
      <c r="D10">
        <v>-58.56</v>
      </c>
      <c r="E10">
        <v>0.167445063591003</v>
      </c>
      <c r="F10">
        <v>11.0533752441406</v>
      </c>
      <c r="G10">
        <f t="shared" si="0"/>
        <v>13.01932439693447</v>
      </c>
      <c r="H10">
        <v>77.752811087552487</v>
      </c>
      <c r="I10">
        <f>1.49/E10</f>
        <v>8.8984408858981698</v>
      </c>
    </row>
    <row r="11" spans="1:9" x14ac:dyDescent="0.25">
      <c r="A11" s="9">
        <v>43662</v>
      </c>
      <c r="B11" s="6" t="s">
        <v>505</v>
      </c>
      <c r="C11">
        <v>2</v>
      </c>
      <c r="D11">
        <v>-64.599999999999994</v>
      </c>
      <c r="E11">
        <v>0.20267918705940199</v>
      </c>
      <c r="F11">
        <v>11.594779968261699</v>
      </c>
      <c r="G11">
        <f t="shared" si="0"/>
        <v>13.538796955709689</v>
      </c>
      <c r="H11">
        <v>66.799147717825093</v>
      </c>
    </row>
    <row r="12" spans="1:9" x14ac:dyDescent="0.25">
      <c r="A12" s="9">
        <v>43662</v>
      </c>
      <c r="B12" s="6" t="s">
        <v>506</v>
      </c>
      <c r="C12">
        <v>3</v>
      </c>
      <c r="D12">
        <v>-66.44</v>
      </c>
      <c r="E12">
        <v>0.23204228281974801</v>
      </c>
      <c r="F12">
        <v>11.536823272705</v>
      </c>
      <c r="G12">
        <f t="shared" si="0"/>
        <v>13.397994840193583</v>
      </c>
      <c r="H12">
        <v>57.739454539848822</v>
      </c>
    </row>
    <row r="13" spans="1:9" x14ac:dyDescent="0.25">
      <c r="A13" s="9">
        <v>43662</v>
      </c>
      <c r="B13" s="6" t="s">
        <v>507</v>
      </c>
      <c r="C13">
        <v>4</v>
      </c>
      <c r="D13">
        <v>-64.55</v>
      </c>
      <c r="E13">
        <v>0.38282272219657898</v>
      </c>
      <c r="F13">
        <v>17.974952697753899</v>
      </c>
      <c r="G13">
        <f t="shared" si="0"/>
        <v>23.127014579872952</v>
      </c>
      <c r="H13">
        <v>60.411812671864496</v>
      </c>
      <c r="I13">
        <f>3.04/E13</f>
        <v>7.9410124418867802</v>
      </c>
    </row>
    <row r="14" spans="1:9" x14ac:dyDescent="0.25">
      <c r="A14" s="9">
        <v>43662</v>
      </c>
      <c r="B14" t="s">
        <v>508</v>
      </c>
      <c r="C14">
        <v>5</v>
      </c>
      <c r="D14">
        <v>-64.17</v>
      </c>
      <c r="E14">
        <v>0.19743594527244601</v>
      </c>
      <c r="F14">
        <v>12.109600067138601</v>
      </c>
      <c r="G14">
        <f t="shared" si="0"/>
        <v>14.262847783911445</v>
      </c>
      <c r="H14">
        <v>72.240380363514063</v>
      </c>
      <c r="I14">
        <f>1.45/E14</f>
        <v>7.3441540647480092</v>
      </c>
    </row>
    <row r="15" spans="1:9" x14ac:dyDescent="0.25">
      <c r="A15" s="9">
        <v>43662</v>
      </c>
      <c r="B15" t="s">
        <v>509</v>
      </c>
      <c r="C15">
        <v>6</v>
      </c>
      <c r="D15">
        <v>-77.92</v>
      </c>
      <c r="E15">
        <v>0.25651615858077997</v>
      </c>
      <c r="F15">
        <v>15.4944915771484</v>
      </c>
      <c r="G15">
        <f t="shared" si="0"/>
        <v>18.425665241254986</v>
      </c>
      <c r="H15">
        <v>71.830427148130426</v>
      </c>
      <c r="I15">
        <f>1.52/E15</f>
        <v>5.9255526373451985</v>
      </c>
    </row>
    <row r="16" spans="1:9" x14ac:dyDescent="0.25">
      <c r="A16" s="9">
        <v>43662</v>
      </c>
      <c r="B16" t="s">
        <v>510</v>
      </c>
      <c r="C16">
        <v>7</v>
      </c>
      <c r="D16">
        <v>-65.930000000000007</v>
      </c>
      <c r="E16">
        <v>0.424759030342102</v>
      </c>
      <c r="F16">
        <v>18.556987762451101</v>
      </c>
      <c r="G16">
        <f t="shared" si="0"/>
        <v>23.949815769760786</v>
      </c>
      <c r="H16">
        <v>56.384476983271064</v>
      </c>
    </row>
    <row r="17" spans="1:9" x14ac:dyDescent="0.25">
      <c r="A17" s="9">
        <v>43662</v>
      </c>
      <c r="B17" t="s">
        <v>511</v>
      </c>
      <c r="C17">
        <v>8</v>
      </c>
      <c r="D17">
        <v>-66.63</v>
      </c>
      <c r="E17">
        <v>0.16634826362133001</v>
      </c>
      <c r="F17">
        <v>8.6905517578125</v>
      </c>
      <c r="G17">
        <f t="shared" si="0"/>
        <v>9.7030018866034951</v>
      </c>
      <c r="H17">
        <f t="shared" ref="H17:H21" si="2">G17/E17</f>
        <v>58.329444957063728</v>
      </c>
      <c r="I17">
        <f>0.97/E17</f>
        <v>5.8311399162426945</v>
      </c>
    </row>
    <row r="18" spans="1:9" x14ac:dyDescent="0.25">
      <c r="A18" s="9">
        <v>43662</v>
      </c>
      <c r="B18" t="s">
        <v>512</v>
      </c>
      <c r="C18">
        <v>9</v>
      </c>
      <c r="D18">
        <v>-58.42</v>
      </c>
      <c r="E18">
        <v>0.32681399583816501</v>
      </c>
      <c r="F18">
        <v>14.0254554748535</v>
      </c>
      <c r="G18">
        <f t="shared" si="0"/>
        <v>17.359606659584355</v>
      </c>
      <c r="H18">
        <f t="shared" si="2"/>
        <v>53.117696551100757</v>
      </c>
      <c r="I18">
        <f>2.36/E18</f>
        <v>7.2212329644800404</v>
      </c>
    </row>
    <row r="19" spans="1:9" x14ac:dyDescent="0.25">
      <c r="A19" s="9">
        <v>43662</v>
      </c>
      <c r="B19" t="s">
        <v>513</v>
      </c>
      <c r="C19">
        <v>10</v>
      </c>
      <c r="D19">
        <v>-75.66</v>
      </c>
      <c r="E19">
        <v>0.17221500000000001</v>
      </c>
      <c r="F19">
        <v>7.5727500000000001</v>
      </c>
      <c r="G19">
        <f t="shared" si="0"/>
        <v>8.2318886149496144</v>
      </c>
      <c r="H19">
        <f t="shared" si="2"/>
        <v>47.800067444471239</v>
      </c>
    </row>
    <row r="20" spans="1:9" x14ac:dyDescent="0.25">
      <c r="A20" s="9">
        <v>43662</v>
      </c>
      <c r="B20" t="s">
        <v>514</v>
      </c>
      <c r="C20">
        <v>11</v>
      </c>
      <c r="D20">
        <v>-68.349999999999994</v>
      </c>
      <c r="E20">
        <v>0.199987128376961</v>
      </c>
      <c r="F20">
        <v>9.5444450378417898</v>
      </c>
      <c r="G20">
        <f t="shared" si="0"/>
        <v>10.744771353942852</v>
      </c>
      <c r="H20">
        <f t="shared" si="2"/>
        <v>53.727314558413724</v>
      </c>
    </row>
    <row r="21" spans="1:9" x14ac:dyDescent="0.25">
      <c r="A21" s="9">
        <v>43662</v>
      </c>
      <c r="B21" t="s">
        <v>515</v>
      </c>
      <c r="C21">
        <v>12</v>
      </c>
      <c r="D21">
        <v>-62.18</v>
      </c>
      <c r="E21">
        <v>0.64828515052795399</v>
      </c>
      <c r="F21">
        <v>24.462196350097599</v>
      </c>
      <c r="G21">
        <f t="shared" si="0"/>
        <v>35.697035849047346</v>
      </c>
      <c r="H21">
        <f t="shared" si="2"/>
        <v>55.063787624899632</v>
      </c>
      <c r="I21">
        <f>6.07/E21</f>
        <v>9.3631637174732152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FF2F-C92E-475C-8007-A199624F8404}">
  <dimension ref="A1:H8"/>
  <sheetViews>
    <sheetView workbookViewId="0">
      <selection activeCell="C4" sqref="C4"/>
    </sheetView>
  </sheetViews>
  <sheetFormatPr defaultRowHeight="15" x14ac:dyDescent="0.25"/>
  <cols>
    <col min="1" max="1" width="69.140625" bestFit="1" customWidth="1"/>
    <col min="2" max="2" width="14.85546875" bestFit="1" customWidth="1"/>
  </cols>
  <sheetData>
    <row r="1" spans="1:8" x14ac:dyDescent="0.25">
      <c r="A1" s="4" t="s">
        <v>516</v>
      </c>
    </row>
    <row r="2" spans="1:8" x14ac:dyDescent="0.25">
      <c r="A2" s="4" t="s">
        <v>517</v>
      </c>
    </row>
    <row r="3" spans="1:8" ht="45" x14ac:dyDescent="0.25">
      <c r="A3" s="7" t="s">
        <v>3</v>
      </c>
      <c r="B3" s="8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</row>
    <row r="4" spans="1:8" x14ac:dyDescent="0.25">
      <c r="A4" s="1" t="s">
        <v>518</v>
      </c>
      <c r="B4" s="1" t="s">
        <v>519</v>
      </c>
      <c r="C4" s="1">
        <v>1</v>
      </c>
      <c r="D4" s="1">
        <v>-63.68</v>
      </c>
      <c r="E4" s="1">
        <v>0.31446299999999999</v>
      </c>
      <c r="F4" s="1">
        <v>10.5488</v>
      </c>
      <c r="G4">
        <f>F4/(1-(0.8*(F4/(ABS(D4)))))</f>
        <v>12.160316982181339</v>
      </c>
      <c r="H4">
        <f t="shared" ref="H4:H8" si="0">G4/E4</f>
        <v>38.670104216334956</v>
      </c>
    </row>
    <row r="5" spans="1:8" x14ac:dyDescent="0.25">
      <c r="A5" s="1" t="s">
        <v>518</v>
      </c>
      <c r="B5" s="1" t="s">
        <v>520</v>
      </c>
      <c r="C5" s="1">
        <v>2</v>
      </c>
      <c r="D5" s="1">
        <v>-53.3</v>
      </c>
      <c r="E5" s="1">
        <v>0.22076000000000001</v>
      </c>
      <c r="F5" s="1">
        <v>7.6800199999999998</v>
      </c>
      <c r="G5">
        <f>F5/(1-(0.8*(F5/(ABS(D5)))))</f>
        <v>8.6806600409398733</v>
      </c>
      <c r="H5">
        <f t="shared" si="0"/>
        <v>39.321707016397319</v>
      </c>
    </row>
    <row r="6" spans="1:8" x14ac:dyDescent="0.25">
      <c r="A6" s="1" t="s">
        <v>518</v>
      </c>
      <c r="B6" s="1" t="s">
        <v>521</v>
      </c>
      <c r="C6" s="1">
        <v>3</v>
      </c>
      <c r="D6" s="1">
        <v>-69.55</v>
      </c>
      <c r="E6" s="1">
        <v>0.396791</v>
      </c>
      <c r="F6" s="1">
        <v>23.8108</v>
      </c>
      <c r="G6">
        <f>F6/(1-(0.8*(F6/(ABS(D6)))))</f>
        <v>32.792010749809513</v>
      </c>
      <c r="H6">
        <f t="shared" si="0"/>
        <v>82.643030587411289</v>
      </c>
    </row>
    <row r="7" spans="1:8" x14ac:dyDescent="0.25">
      <c r="A7" s="1" t="s">
        <v>518</v>
      </c>
      <c r="B7" s="1" t="s">
        <v>522</v>
      </c>
      <c r="C7" s="1">
        <v>4</v>
      </c>
      <c r="D7" s="1">
        <v>-62.5</v>
      </c>
      <c r="E7" s="1">
        <v>0.25972899999999999</v>
      </c>
      <c r="F7" s="1">
        <v>17.092099999999999</v>
      </c>
      <c r="G7">
        <f t="shared" ref="G7:G8" si="1">F7/(1-(0.8*(F7/(ABS(D7)))))</f>
        <v>21.878696776656522</v>
      </c>
      <c r="H7">
        <f t="shared" si="0"/>
        <v>84.236634248222273</v>
      </c>
    </row>
    <row r="8" spans="1:8" x14ac:dyDescent="0.25">
      <c r="A8" s="1" t="s">
        <v>518</v>
      </c>
      <c r="B8" s="1" t="s">
        <v>523</v>
      </c>
      <c r="C8" s="1">
        <v>5</v>
      </c>
      <c r="D8" s="1">
        <v>-64.959999999999994</v>
      </c>
      <c r="E8" s="1">
        <v>0.26211200000000001</v>
      </c>
      <c r="F8" s="1">
        <v>18.889900000000001</v>
      </c>
      <c r="G8">
        <f t="shared" si="1"/>
        <v>24.616553014679806</v>
      </c>
      <c r="H8">
        <f t="shared" si="0"/>
        <v>93.916161849437657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7896-F967-42CF-B1E7-6DBD044836AA}">
  <dimension ref="A1:H25"/>
  <sheetViews>
    <sheetView topLeftCell="A13" workbookViewId="0">
      <selection activeCell="H16" sqref="H16:H24"/>
    </sheetView>
  </sheetViews>
  <sheetFormatPr defaultRowHeight="15" x14ac:dyDescent="0.25"/>
  <sheetData>
    <row r="1" spans="1:8" x14ac:dyDescent="0.25">
      <c r="A1" s="4" t="s">
        <v>524</v>
      </c>
      <c r="B1" s="5"/>
      <c r="D1" t="s">
        <v>525</v>
      </c>
    </row>
    <row r="2" spans="1:8" ht="45" x14ac:dyDescent="0.25">
      <c r="A2" s="7" t="s">
        <v>3</v>
      </c>
      <c r="B2" s="8" t="s">
        <v>109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</row>
    <row r="3" spans="1:8" x14ac:dyDescent="0.25">
      <c r="A3" s="9">
        <v>43593</v>
      </c>
      <c r="B3" s="6" t="s">
        <v>526</v>
      </c>
      <c r="C3">
        <v>1</v>
      </c>
      <c r="D3">
        <v>-55.23</v>
      </c>
      <c r="E3">
        <v>0.10864</v>
      </c>
      <c r="F3">
        <v>6.08188</v>
      </c>
      <c r="G3">
        <f>F3/(1-(0.8*(F3/ABS(D3))))</f>
        <v>6.6694250727734872</v>
      </c>
      <c r="H3">
        <f>G3/E3</f>
        <v>61.390142422436369</v>
      </c>
    </row>
    <row r="4" spans="1:8" x14ac:dyDescent="0.25">
      <c r="A4" s="9">
        <v>43593</v>
      </c>
      <c r="B4" s="6" t="s">
        <v>527</v>
      </c>
      <c r="C4">
        <v>2</v>
      </c>
      <c r="D4">
        <v>-62.56</v>
      </c>
      <c r="E4">
        <v>0.12701599999999999</v>
      </c>
      <c r="F4">
        <v>9.1492799999999992</v>
      </c>
      <c r="G4">
        <f t="shared" ref="G4:G12" si="0">F4/(1-(0.8*(F4/ABS(D4))))</f>
        <v>10.361567497051441</v>
      </c>
      <c r="H4">
        <f t="shared" ref="H4:H12" si="1">G4/E4</f>
        <v>81.576868245350525</v>
      </c>
    </row>
    <row r="5" spans="1:8" x14ac:dyDescent="0.25">
      <c r="A5" s="9">
        <v>43593</v>
      </c>
      <c r="B5" s="6" t="s">
        <v>528</v>
      </c>
      <c r="C5">
        <v>3</v>
      </c>
      <c r="D5">
        <v>-60.36</v>
      </c>
      <c r="E5">
        <v>0.14052400000000001</v>
      </c>
      <c r="F5">
        <v>8.7901500000000006</v>
      </c>
      <c r="G5">
        <f t="shared" si="0"/>
        <v>9.9492695753140765</v>
      </c>
      <c r="H5">
        <f t="shared" si="1"/>
        <v>70.801212428582133</v>
      </c>
    </row>
    <row r="6" spans="1:8" x14ac:dyDescent="0.25">
      <c r="A6" s="9">
        <v>43593</v>
      </c>
      <c r="B6" s="6" t="s">
        <v>529</v>
      </c>
      <c r="C6">
        <v>4</v>
      </c>
      <c r="D6">
        <v>-62.9</v>
      </c>
      <c r="E6">
        <v>0.16009599999999999</v>
      </c>
      <c r="F6">
        <v>13.3559</v>
      </c>
      <c r="G6">
        <f t="shared" si="0"/>
        <v>16.088894093836132</v>
      </c>
      <c r="H6">
        <f t="shared" si="1"/>
        <v>100.49529091192868</v>
      </c>
    </row>
    <row r="7" spans="1:8" x14ac:dyDescent="0.25">
      <c r="A7" s="9">
        <v>43593</v>
      </c>
      <c r="B7" s="6" t="s">
        <v>530</v>
      </c>
      <c r="C7">
        <v>5</v>
      </c>
      <c r="D7">
        <v>-59.08</v>
      </c>
      <c r="E7">
        <v>0.46674100000000002</v>
      </c>
      <c r="F7">
        <v>12.1614</v>
      </c>
      <c r="G7">
        <f t="shared" si="0"/>
        <v>14.55891996252144</v>
      </c>
      <c r="H7">
        <f t="shared" si="1"/>
        <v>31.192717079753951</v>
      </c>
    </row>
    <row r="8" spans="1:8" x14ac:dyDescent="0.25">
      <c r="A8" s="9">
        <v>43593</v>
      </c>
      <c r="B8" s="6" t="s">
        <v>531</v>
      </c>
      <c r="C8">
        <v>6</v>
      </c>
      <c r="D8">
        <v>-64.03</v>
      </c>
      <c r="E8">
        <v>0.25742700000000002</v>
      </c>
      <c r="F8">
        <v>12.1225</v>
      </c>
      <c r="G8">
        <f t="shared" si="0"/>
        <v>14.286307792829273</v>
      </c>
      <c r="H8">
        <f t="shared" si="1"/>
        <v>55.496539962122355</v>
      </c>
    </row>
    <row r="9" spans="1:8" x14ac:dyDescent="0.25">
      <c r="A9" s="9">
        <v>43593</v>
      </c>
      <c r="B9" s="6" t="s">
        <v>532</v>
      </c>
      <c r="C9">
        <v>7</v>
      </c>
      <c r="D9">
        <v>-53.24</v>
      </c>
      <c r="E9">
        <v>0.239229</v>
      </c>
      <c r="F9">
        <v>10.8249</v>
      </c>
      <c r="G9">
        <f t="shared" si="0"/>
        <v>12.927694970489062</v>
      </c>
      <c r="H9">
        <f t="shared" si="1"/>
        <v>54.038995984972821</v>
      </c>
    </row>
    <row r="10" spans="1:8" x14ac:dyDescent="0.25">
      <c r="A10" s="9">
        <v>43593</v>
      </c>
      <c r="B10" s="6" t="s">
        <v>533</v>
      </c>
      <c r="C10">
        <v>8</v>
      </c>
      <c r="D10">
        <v>-60.39</v>
      </c>
      <c r="E10">
        <v>0.272032</v>
      </c>
      <c r="F10">
        <v>9.3091000000000008</v>
      </c>
      <c r="G10">
        <f t="shared" si="0"/>
        <v>10.618580779378167</v>
      </c>
      <c r="H10">
        <f t="shared" si="1"/>
        <v>39.034307652695887</v>
      </c>
    </row>
    <row r="11" spans="1:8" x14ac:dyDescent="0.25">
      <c r="A11" s="9">
        <v>43593</v>
      </c>
      <c r="B11" s="6" t="s">
        <v>534</v>
      </c>
      <c r="C11">
        <v>9</v>
      </c>
      <c r="D11">
        <v>-55.94</v>
      </c>
      <c r="E11">
        <v>0.227189</v>
      </c>
      <c r="F11">
        <v>5.5693400000000004</v>
      </c>
      <c r="G11">
        <f t="shared" si="0"/>
        <v>6.0513107860287665</v>
      </c>
      <c r="H11">
        <f t="shared" si="1"/>
        <v>26.635580006200858</v>
      </c>
    </row>
    <row r="12" spans="1:8" x14ac:dyDescent="0.25">
      <c r="A12" s="9">
        <v>43593</v>
      </c>
      <c r="B12" s="6" t="s">
        <v>535</v>
      </c>
      <c r="C12">
        <v>10</v>
      </c>
      <c r="D12">
        <v>-56.3</v>
      </c>
      <c r="E12">
        <v>0.201179</v>
      </c>
      <c r="F12">
        <v>6.0582700000000003</v>
      </c>
      <c r="G12">
        <f t="shared" si="0"/>
        <v>6.6289245620851682</v>
      </c>
      <c r="H12">
        <f t="shared" si="1"/>
        <v>32.950380318448588</v>
      </c>
    </row>
    <row r="14" spans="1:8" x14ac:dyDescent="0.25">
      <c r="A14" s="4" t="s">
        <v>536</v>
      </c>
      <c r="D14" t="s">
        <v>537</v>
      </c>
    </row>
    <row r="16" spans="1:8" x14ac:dyDescent="0.25">
      <c r="A16" s="9">
        <v>43593</v>
      </c>
      <c r="B16" s="6" t="s">
        <v>538</v>
      </c>
      <c r="C16">
        <v>1</v>
      </c>
      <c r="D16">
        <v>-60.64</v>
      </c>
      <c r="E16">
        <v>0.15870500000000001</v>
      </c>
      <c r="F16">
        <v>13.2227</v>
      </c>
      <c r="G16">
        <f t="shared" ref="G16:G24" si="2">F16/(1-(0.8*(F16/ABS(D16))))</f>
        <v>16.016681128779926</v>
      </c>
      <c r="H16">
        <f t="shared" ref="H16:H24" si="3">G16/E16</f>
        <v>100.92108710361944</v>
      </c>
    </row>
    <row r="17" spans="1:8" x14ac:dyDescent="0.25">
      <c r="A17" s="9">
        <v>43593</v>
      </c>
      <c r="B17" s="6" t="s">
        <v>539</v>
      </c>
      <c r="C17">
        <v>2</v>
      </c>
      <c r="D17">
        <v>-60.68</v>
      </c>
      <c r="E17">
        <v>0.14698600000000001</v>
      </c>
      <c r="F17">
        <v>12.815099999999999</v>
      </c>
      <c r="G17">
        <f t="shared" si="2"/>
        <v>15.420431142113337</v>
      </c>
      <c r="H17">
        <f t="shared" si="3"/>
        <v>104.9108836359472</v>
      </c>
    </row>
    <row r="18" spans="1:8" x14ac:dyDescent="0.25">
      <c r="A18" s="9">
        <v>43593</v>
      </c>
      <c r="B18" s="6" t="s">
        <v>540</v>
      </c>
      <c r="C18">
        <v>3</v>
      </c>
      <c r="D18">
        <v>-59.88</v>
      </c>
      <c r="E18">
        <v>0.17810300000000001</v>
      </c>
      <c r="F18">
        <v>19.2881</v>
      </c>
      <c r="G18">
        <f t="shared" si="2"/>
        <v>25.983889769788291</v>
      </c>
      <c r="H18">
        <f t="shared" si="3"/>
        <v>145.89248788503446</v>
      </c>
    </row>
    <row r="19" spans="1:8" x14ac:dyDescent="0.25">
      <c r="A19" s="9">
        <v>43593</v>
      </c>
      <c r="B19" s="6" t="s">
        <v>541</v>
      </c>
      <c r="C19">
        <v>4</v>
      </c>
      <c r="D19">
        <v>-56.79</v>
      </c>
      <c r="E19">
        <v>0.30754700000000001</v>
      </c>
      <c r="F19">
        <v>14.795299999999999</v>
      </c>
      <c r="G19">
        <f t="shared" si="2"/>
        <v>18.690874511942937</v>
      </c>
      <c r="H19">
        <f t="shared" si="3"/>
        <v>60.774042705482209</v>
      </c>
    </row>
    <row r="20" spans="1:8" x14ac:dyDescent="0.25">
      <c r="A20" s="9">
        <v>43593</v>
      </c>
      <c r="B20" s="6" t="s">
        <v>542</v>
      </c>
      <c r="C20">
        <v>5</v>
      </c>
      <c r="D20">
        <v>-56.88</v>
      </c>
      <c r="E20">
        <v>0.25126700000000002</v>
      </c>
      <c r="F20">
        <v>14.7582</v>
      </c>
      <c r="G20">
        <f t="shared" si="2"/>
        <v>18.62397048017635</v>
      </c>
      <c r="H20">
        <f t="shared" si="3"/>
        <v>74.120240541640356</v>
      </c>
    </row>
    <row r="21" spans="1:8" x14ac:dyDescent="0.25">
      <c r="A21" s="9">
        <v>43593</v>
      </c>
      <c r="B21" s="6" t="s">
        <v>543</v>
      </c>
      <c r="C21">
        <v>6</v>
      </c>
      <c r="D21">
        <v>-66.16</v>
      </c>
      <c r="E21">
        <v>0.253668</v>
      </c>
      <c r="F21">
        <v>15.836499999999999</v>
      </c>
      <c r="G21">
        <f t="shared" si="2"/>
        <v>19.587346609136524</v>
      </c>
      <c r="H21">
        <f t="shared" si="3"/>
        <v>77.216466440924847</v>
      </c>
    </row>
    <row r="22" spans="1:8" x14ac:dyDescent="0.25">
      <c r="A22" s="9">
        <v>43593</v>
      </c>
      <c r="B22" s="6" t="s">
        <v>544</v>
      </c>
      <c r="C22">
        <v>7</v>
      </c>
      <c r="D22">
        <v>-57.65</v>
      </c>
      <c r="E22">
        <v>0.22561500000000001</v>
      </c>
      <c r="F22">
        <v>14.357200000000001</v>
      </c>
      <c r="G22">
        <f t="shared" si="2"/>
        <v>17.929301554623233</v>
      </c>
      <c r="H22">
        <f t="shared" si="3"/>
        <v>79.468570594256732</v>
      </c>
    </row>
    <row r="23" spans="1:8" x14ac:dyDescent="0.25">
      <c r="A23" s="9">
        <v>43593</v>
      </c>
      <c r="B23" s="6" t="s">
        <v>545</v>
      </c>
      <c r="C23">
        <v>8</v>
      </c>
      <c r="D23">
        <v>-73.55</v>
      </c>
      <c r="E23">
        <v>0.29489100000000001</v>
      </c>
      <c r="F23">
        <v>16.12</v>
      </c>
      <c r="G23">
        <f t="shared" si="2"/>
        <v>19.547367032677155</v>
      </c>
      <c r="H23">
        <f t="shared" si="3"/>
        <v>66.286753521393166</v>
      </c>
    </row>
    <row r="24" spans="1:8" x14ac:dyDescent="0.25">
      <c r="A24" s="9">
        <v>43593</v>
      </c>
      <c r="B24" s="6" t="s">
        <v>546</v>
      </c>
      <c r="C24">
        <v>9</v>
      </c>
      <c r="D24">
        <v>-58.74</v>
      </c>
      <c r="E24">
        <v>0.249805</v>
      </c>
      <c r="F24">
        <v>10.770200000000001</v>
      </c>
      <c r="G24">
        <f t="shared" si="2"/>
        <v>12.621569855781203</v>
      </c>
      <c r="H24">
        <f t="shared" si="3"/>
        <v>50.525689460904317</v>
      </c>
    </row>
    <row r="25" spans="1:8" x14ac:dyDescent="0.25">
      <c r="A25" s="9">
        <v>43593</v>
      </c>
      <c r="B25" s="6" t="s">
        <v>527</v>
      </c>
      <c r="C25">
        <v>10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BA09-DBE7-41D9-831E-13359B4933D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72B1-0DD5-4B52-B438-2730596689C8}">
  <dimension ref="A1:AJ49"/>
  <sheetViews>
    <sheetView topLeftCell="K13" zoomScaleNormal="100" workbookViewId="0">
      <selection activeCell="AC41" activeCellId="4" sqref="AC36 AC38 AC39 AC40 AC41"/>
    </sheetView>
  </sheetViews>
  <sheetFormatPr defaultRowHeight="15" x14ac:dyDescent="0.25"/>
  <cols>
    <col min="1" max="1" width="9.7109375" bestFit="1" customWidth="1"/>
    <col min="2" max="2" width="14.28515625" customWidth="1"/>
  </cols>
  <sheetData>
    <row r="1" spans="1:36" x14ac:dyDescent="0.25">
      <c r="A1" s="4" t="s">
        <v>2</v>
      </c>
      <c r="B1" s="5"/>
      <c r="N1" s="6"/>
    </row>
    <row r="2" spans="1:36" ht="45" x14ac:dyDescent="0.25">
      <c r="A2" s="7" t="s">
        <v>3</v>
      </c>
      <c r="B2" s="8" t="s">
        <v>4</v>
      </c>
      <c r="C2" s="7" t="s">
        <v>5</v>
      </c>
      <c r="D2" s="7" t="s">
        <v>6</v>
      </c>
      <c r="E2" s="7" t="s">
        <v>7</v>
      </c>
      <c r="F2" t="s">
        <v>36</v>
      </c>
      <c r="G2" t="s">
        <v>553</v>
      </c>
      <c r="H2" s="7" t="s">
        <v>8</v>
      </c>
      <c r="I2" t="s">
        <v>36</v>
      </c>
      <c r="J2" t="s">
        <v>553</v>
      </c>
      <c r="K2" s="7" t="s">
        <v>9</v>
      </c>
      <c r="L2" s="7" t="s">
        <v>10</v>
      </c>
      <c r="M2" s="7" t="s">
        <v>11</v>
      </c>
      <c r="N2" s="8" t="s">
        <v>13</v>
      </c>
      <c r="P2" t="s">
        <v>470</v>
      </c>
      <c r="AA2" t="s">
        <v>471</v>
      </c>
    </row>
    <row r="3" spans="1:36" x14ac:dyDescent="0.25">
      <c r="A3" s="28"/>
      <c r="B3" s="29"/>
      <c r="C3" s="28"/>
      <c r="D3" s="28"/>
      <c r="E3" s="28"/>
      <c r="G3" s="28"/>
      <c r="H3" s="28"/>
      <c r="K3" s="28"/>
      <c r="L3" s="28"/>
      <c r="M3" s="28"/>
      <c r="N3" s="29"/>
      <c r="P3" t="s">
        <v>395</v>
      </c>
      <c r="Q3">
        <v>2</v>
      </c>
      <c r="R3">
        <v>3</v>
      </c>
      <c r="S3">
        <v>4</v>
      </c>
      <c r="T3">
        <v>5</v>
      </c>
      <c r="U3">
        <v>6</v>
      </c>
      <c r="V3">
        <v>7</v>
      </c>
      <c r="W3">
        <v>8</v>
      </c>
      <c r="X3">
        <v>9</v>
      </c>
      <c r="Y3">
        <v>10</v>
      </c>
      <c r="AA3" t="s">
        <v>395</v>
      </c>
      <c r="AB3">
        <v>2</v>
      </c>
      <c r="AC3">
        <v>3</v>
      </c>
      <c r="AD3">
        <v>4</v>
      </c>
      <c r="AE3">
        <v>5</v>
      </c>
      <c r="AF3">
        <v>6</v>
      </c>
      <c r="AG3">
        <v>7</v>
      </c>
      <c r="AH3">
        <v>8</v>
      </c>
      <c r="AI3">
        <v>9</v>
      </c>
      <c r="AJ3">
        <v>10</v>
      </c>
    </row>
    <row r="4" spans="1:36" x14ac:dyDescent="0.25">
      <c r="A4" s="9">
        <v>42521</v>
      </c>
      <c r="B4" t="s">
        <v>14</v>
      </c>
      <c r="C4">
        <v>1</v>
      </c>
      <c r="D4">
        <v>-64.67</v>
      </c>
      <c r="E4">
        <v>0.244454</v>
      </c>
      <c r="H4">
        <v>14.809900000000001</v>
      </c>
      <c r="K4">
        <f>H4/(1-(0.8*(H4/(ABS(D4)))))</f>
        <v>18.131740230600538</v>
      </c>
      <c r="L4">
        <f>K4/E4</f>
        <v>74.172401476762658</v>
      </c>
      <c r="N4">
        <v>438</v>
      </c>
    </row>
    <row r="5" spans="1:36" x14ac:dyDescent="0.25">
      <c r="B5" t="s">
        <v>15</v>
      </c>
      <c r="C5">
        <v>2</v>
      </c>
      <c r="D5">
        <v>-74.5</v>
      </c>
      <c r="E5">
        <v>0.237682</v>
      </c>
      <c r="H5">
        <v>18.136099999999999</v>
      </c>
      <c r="K5">
        <f>H5/(1-(0.8*(H5/(ABS(D5)))))</f>
        <v>22.522324137305652</v>
      </c>
      <c r="L5">
        <f t="shared" ref="L5:L21" si="0">K5/E5</f>
        <v>94.758223749823927</v>
      </c>
      <c r="N5">
        <v>609</v>
      </c>
    </row>
    <row r="6" spans="1:36" x14ac:dyDescent="0.25">
      <c r="B6" t="s">
        <v>16</v>
      </c>
      <c r="C6">
        <v>3</v>
      </c>
      <c r="D6">
        <v>-66.81</v>
      </c>
      <c r="E6">
        <v>0.51256299999999999</v>
      </c>
      <c r="H6">
        <v>20.898900000000001</v>
      </c>
      <c r="K6">
        <f>H6/(1-(0.8*(H6/(ABS(D6)))))</f>
        <v>27.8744455876998</v>
      </c>
      <c r="L6">
        <f t="shared" si="0"/>
        <v>54.382477056868716</v>
      </c>
      <c r="N6">
        <v>417</v>
      </c>
    </row>
    <row r="7" spans="1:36" x14ac:dyDescent="0.25">
      <c r="B7" t="s">
        <v>17</v>
      </c>
      <c r="C7">
        <v>4</v>
      </c>
      <c r="D7">
        <v>-68.05</v>
      </c>
      <c r="E7">
        <v>0.27971099999999999</v>
      </c>
      <c r="H7">
        <v>16.608599999999999</v>
      </c>
      <c r="K7">
        <f t="shared" ref="K7:K21" si="1">H7/(1-(0.8*(H7/(ABS(D7)))))</f>
        <v>20.638254905856346</v>
      </c>
      <c r="L7">
        <f t="shared" si="0"/>
        <v>73.784209079572662</v>
      </c>
      <c r="N7">
        <v>581</v>
      </c>
    </row>
    <row r="8" spans="1:36" x14ac:dyDescent="0.25">
      <c r="B8" t="s">
        <v>18</v>
      </c>
      <c r="C8">
        <v>5</v>
      </c>
      <c r="D8">
        <v>-72.02</v>
      </c>
      <c r="E8">
        <v>0.28314800000000001</v>
      </c>
      <c r="H8">
        <v>18.212299999999999</v>
      </c>
      <c r="K8">
        <f t="shared" si="1"/>
        <v>22.831091262409014</v>
      </c>
      <c r="L8">
        <f t="shared" si="0"/>
        <v>80.633065613774463</v>
      </c>
      <c r="N8">
        <v>531</v>
      </c>
    </row>
    <row r="9" spans="1:36" x14ac:dyDescent="0.25">
      <c r="B9" t="s">
        <v>19</v>
      </c>
      <c r="C9">
        <v>6</v>
      </c>
      <c r="D9">
        <v>-73.61</v>
      </c>
      <c r="E9">
        <v>0.26453199999999999</v>
      </c>
      <c r="H9">
        <v>19.023900000000001</v>
      </c>
      <c r="K9">
        <f t="shared" si="1"/>
        <v>23.98232873010306</v>
      </c>
      <c r="L9">
        <f t="shared" si="0"/>
        <v>90.659461729027342</v>
      </c>
      <c r="N9">
        <v>415</v>
      </c>
    </row>
    <row r="10" spans="1:36" x14ac:dyDescent="0.25">
      <c r="B10" t="s">
        <v>20</v>
      </c>
      <c r="C10">
        <v>7</v>
      </c>
      <c r="D10">
        <v>-72.680000000000007</v>
      </c>
      <c r="E10">
        <v>0.31598199999999999</v>
      </c>
      <c r="H10">
        <v>19.742699999999999</v>
      </c>
      <c r="K10">
        <f t="shared" si="1"/>
        <v>25.224193507558294</v>
      </c>
      <c r="L10">
        <f t="shared" si="0"/>
        <v>79.827944337203689</v>
      </c>
      <c r="N10">
        <v>339</v>
      </c>
    </row>
    <row r="11" spans="1:36" x14ac:dyDescent="0.25">
      <c r="B11" t="s">
        <v>21</v>
      </c>
      <c r="C11">
        <v>8</v>
      </c>
      <c r="D11">
        <v>-75.81</v>
      </c>
      <c r="E11">
        <v>0.32558999999999999</v>
      </c>
      <c r="H11">
        <v>18.898299999999999</v>
      </c>
      <c r="K11">
        <f t="shared" si="1"/>
        <v>23.605998003669711</v>
      </c>
      <c r="L11">
        <f t="shared" si="0"/>
        <v>72.50222059544123</v>
      </c>
      <c r="N11">
        <v>376</v>
      </c>
    </row>
    <row r="12" spans="1:36" x14ac:dyDescent="0.25">
      <c r="B12" t="s">
        <v>22</v>
      </c>
      <c r="C12">
        <v>9</v>
      </c>
      <c r="D12">
        <v>-76.64</v>
      </c>
      <c r="E12">
        <v>0.43733</v>
      </c>
      <c r="H12">
        <v>20.411300000000001</v>
      </c>
      <c r="K12">
        <f t="shared" si="1"/>
        <v>25.937607890837754</v>
      </c>
      <c r="L12">
        <f t="shared" si="0"/>
        <v>59.309006678795768</v>
      </c>
      <c r="N12">
        <v>378</v>
      </c>
    </row>
    <row r="13" spans="1:36" x14ac:dyDescent="0.25">
      <c r="B13" t="s">
        <v>23</v>
      </c>
      <c r="C13">
        <v>10</v>
      </c>
      <c r="D13">
        <v>-76.92</v>
      </c>
      <c r="E13">
        <v>0.32865699999999998</v>
      </c>
      <c r="H13">
        <v>22.285</v>
      </c>
      <c r="K13">
        <f t="shared" si="1"/>
        <v>29.008363230217288</v>
      </c>
      <c r="L13">
        <f t="shared" si="0"/>
        <v>88.263336031842584</v>
      </c>
      <c r="N13">
        <v>426</v>
      </c>
    </row>
    <row r="14" spans="1:36" x14ac:dyDescent="0.25">
      <c r="B14" t="s">
        <v>24</v>
      </c>
      <c r="C14">
        <v>11</v>
      </c>
      <c r="D14">
        <v>-76.180000000000007</v>
      </c>
      <c r="E14">
        <v>0.21409600000000001</v>
      </c>
      <c r="H14">
        <v>16.0349</v>
      </c>
      <c r="K14">
        <f t="shared" si="1"/>
        <v>19.281745477023012</v>
      </c>
      <c r="L14">
        <f t="shared" si="0"/>
        <v>90.061213086760205</v>
      </c>
      <c r="N14">
        <v>405</v>
      </c>
    </row>
    <row r="15" spans="1:36" x14ac:dyDescent="0.25">
      <c r="B15" t="s">
        <v>25</v>
      </c>
      <c r="C15">
        <v>12</v>
      </c>
      <c r="D15">
        <v>-75.12</v>
      </c>
      <c r="E15">
        <v>0.34415800000000002</v>
      </c>
      <c r="H15">
        <v>23.803899999999999</v>
      </c>
      <c r="K15">
        <f t="shared" si="1"/>
        <v>31.887454651542665</v>
      </c>
      <c r="L15">
        <f t="shared" si="0"/>
        <v>92.653533120086308</v>
      </c>
      <c r="N15">
        <v>391</v>
      </c>
    </row>
    <row r="16" spans="1:36" x14ac:dyDescent="0.25">
      <c r="B16" t="s">
        <v>26</v>
      </c>
      <c r="C16">
        <v>13</v>
      </c>
      <c r="D16">
        <v>-64.62</v>
      </c>
      <c r="E16">
        <v>0.65799700000000005</v>
      </c>
      <c r="H16">
        <v>24.408300000000001</v>
      </c>
      <c r="K16">
        <f t="shared" si="1"/>
        <v>34.977751624629434</v>
      </c>
      <c r="L16">
        <f t="shared" si="0"/>
        <v>53.157919602413735</v>
      </c>
      <c r="N16">
        <v>245</v>
      </c>
    </row>
    <row r="17" spans="1:36" x14ac:dyDescent="0.25">
      <c r="B17" t="s">
        <v>27</v>
      </c>
      <c r="C17">
        <v>14</v>
      </c>
      <c r="D17">
        <v>-61.9</v>
      </c>
      <c r="E17">
        <v>0.25162600000000002</v>
      </c>
      <c r="H17">
        <v>15.8742</v>
      </c>
      <c r="K17">
        <f t="shared" si="1"/>
        <v>19.971548744081378</v>
      </c>
      <c r="L17">
        <f t="shared" si="0"/>
        <v>79.369972674053457</v>
      </c>
      <c r="N17">
        <v>508</v>
      </c>
    </row>
    <row r="18" spans="1:36" x14ac:dyDescent="0.25">
      <c r="B18" t="s">
        <v>28</v>
      </c>
      <c r="C18">
        <v>15</v>
      </c>
      <c r="D18">
        <v>-66.739999999999995</v>
      </c>
      <c r="E18">
        <v>0.384017</v>
      </c>
      <c r="H18">
        <v>21.648900000000001</v>
      </c>
      <c r="K18">
        <f t="shared" si="1"/>
        <v>29.235569783459951</v>
      </c>
      <c r="L18">
        <f t="shared" si="0"/>
        <v>76.130925931560199</v>
      </c>
      <c r="N18">
        <v>354</v>
      </c>
    </row>
    <row r="19" spans="1:36" x14ac:dyDescent="0.25">
      <c r="B19" t="s">
        <v>29</v>
      </c>
      <c r="C19">
        <v>16</v>
      </c>
      <c r="D19">
        <v>-71.77</v>
      </c>
      <c r="E19">
        <v>0.39884900000000001</v>
      </c>
      <c r="H19">
        <v>19.078099999999999</v>
      </c>
      <c r="K19">
        <f t="shared" si="1"/>
        <v>24.231026896951061</v>
      </c>
      <c r="L19">
        <f t="shared" si="0"/>
        <v>60.752382222222096</v>
      </c>
    </row>
    <row r="20" spans="1:36" x14ac:dyDescent="0.25">
      <c r="B20" t="s">
        <v>30</v>
      </c>
      <c r="C20">
        <v>17</v>
      </c>
      <c r="D20">
        <v>-67.290000000000006</v>
      </c>
      <c r="E20">
        <v>0.300676</v>
      </c>
      <c r="H20">
        <v>17.160799999999998</v>
      </c>
      <c r="K20">
        <f t="shared" si="1"/>
        <v>21.55938967942561</v>
      </c>
      <c r="L20">
        <f t="shared" si="0"/>
        <v>71.703061366472909</v>
      </c>
    </row>
    <row r="21" spans="1:36" x14ac:dyDescent="0.25">
      <c r="B21" t="s">
        <v>31</v>
      </c>
      <c r="C21">
        <v>18</v>
      </c>
      <c r="D21">
        <v>-66.75</v>
      </c>
      <c r="E21">
        <v>0.21598500000000001</v>
      </c>
      <c r="H21">
        <v>15.8729</v>
      </c>
      <c r="K21">
        <f t="shared" si="1"/>
        <v>19.601908303312683</v>
      </c>
      <c r="L21">
        <f t="shared" si="0"/>
        <v>90.755877969825136</v>
      </c>
    </row>
    <row r="23" spans="1:36" x14ac:dyDescent="0.25">
      <c r="A23" t="s">
        <v>921</v>
      </c>
      <c r="B23" s="30" t="s">
        <v>751</v>
      </c>
      <c r="C23" s="30">
        <v>1</v>
      </c>
      <c r="D23" s="30">
        <v>-72.64</v>
      </c>
      <c r="E23" s="30">
        <v>0.31372106075286899</v>
      </c>
      <c r="F23" s="30">
        <v>1.9822752475738501</v>
      </c>
      <c r="G23" s="30">
        <v>10.0887126922607</v>
      </c>
      <c r="H23" s="30">
        <v>12.681545257568301</v>
      </c>
      <c r="I23" s="30">
        <v>2.16233086585998</v>
      </c>
      <c r="J23" s="30">
        <v>10.5659999847412</v>
      </c>
      <c r="K23" s="30">
        <f t="shared" ref="K23:K36" si="2">H23/(1-(0.8*(H23/(ABS(D23)))))</f>
        <v>14.740234086603719</v>
      </c>
      <c r="L23" s="30">
        <f>K23/E23</f>
        <v>46.985159527479759</v>
      </c>
      <c r="M23" s="30"/>
      <c r="N23" s="30"/>
      <c r="O23" s="30"/>
      <c r="P23" s="30">
        <v>13.259197235107401</v>
      </c>
      <c r="Q23" s="30">
        <v>14.305381774902299</v>
      </c>
      <c r="R23" s="30">
        <v>14.417385101318301</v>
      </c>
      <c r="S23" s="30">
        <v>14.977287292480399</v>
      </c>
      <c r="T23" s="30">
        <v>15.6360778808593</v>
      </c>
      <c r="U23" s="30">
        <v>14.894218444824199</v>
      </c>
      <c r="V23" s="30">
        <v>15.110698699951101</v>
      </c>
      <c r="W23" s="30">
        <v>14.262954711914</v>
      </c>
      <c r="X23" s="30">
        <v>13.2102088928222</v>
      </c>
      <c r="Y23" s="30">
        <v>13.418067932128899</v>
      </c>
      <c r="Z23" s="30"/>
      <c r="AA23" s="30">
        <f>P23/P23</f>
        <v>1</v>
      </c>
      <c r="AB23" s="30">
        <f>Q23/P23</f>
        <v>1.0789025550524911</v>
      </c>
      <c r="AC23" s="30">
        <f>R23/P23</f>
        <v>1.0873497728161308</v>
      </c>
      <c r="AD23" s="30">
        <f>S23/P23</f>
        <v>1.1295772305750065</v>
      </c>
      <c r="AE23" s="30">
        <f>T23/P23</f>
        <v>1.1792627866986132</v>
      </c>
      <c r="AF23" s="30">
        <f>U23/P23</f>
        <v>1.1233122323112916</v>
      </c>
      <c r="AG23" s="30">
        <f>V23/P23</f>
        <v>1.1396390318368097</v>
      </c>
      <c r="AH23" s="30">
        <f>W23/P23</f>
        <v>1.0757027336578773</v>
      </c>
      <c r="AI23" s="30">
        <f>X23/P23</f>
        <v>0.99630533120395171</v>
      </c>
      <c r="AJ23" s="30">
        <f>Y23/P23</f>
        <v>1.011981924260154</v>
      </c>
    </row>
    <row r="24" spans="1:36" x14ac:dyDescent="0.25">
      <c r="B24" s="30" t="s">
        <v>752</v>
      </c>
      <c r="C24" s="30">
        <v>2</v>
      </c>
      <c r="D24" s="30">
        <v>-69.8</v>
      </c>
      <c r="E24" s="30">
        <v>0.25262987613678001</v>
      </c>
      <c r="F24" s="30">
        <v>2.1538777351379399</v>
      </c>
      <c r="G24" s="30">
        <v>7.5274991989135698</v>
      </c>
      <c r="H24" s="30">
        <v>12.8736724853515</v>
      </c>
      <c r="I24" s="30">
        <v>2.2314965724945002</v>
      </c>
      <c r="J24" s="30">
        <v>11.104905128479</v>
      </c>
      <c r="K24" s="30">
        <f t="shared" si="2"/>
        <v>15.101954639071113</v>
      </c>
      <c r="L24" s="30">
        <f t="shared" ref="L24:L36" si="3">K24/E24</f>
        <v>59.778973374053926</v>
      </c>
      <c r="M24" s="30"/>
      <c r="N24" s="30"/>
      <c r="O24" s="30"/>
      <c r="P24" s="30">
        <v>12.9816627502441</v>
      </c>
      <c r="Q24" s="30">
        <v>13.649314880371</v>
      </c>
      <c r="R24" s="30">
        <v>13.5808868408203</v>
      </c>
      <c r="S24" s="30">
        <v>14.0693550109863</v>
      </c>
      <c r="T24" s="30">
        <v>13.610790252685501</v>
      </c>
      <c r="U24" s="30">
        <v>13.7524909973144</v>
      </c>
      <c r="V24" s="30">
        <v>12.9979591369628</v>
      </c>
      <c r="W24" s="30">
        <v>12.591335296630801</v>
      </c>
      <c r="X24" s="30">
        <v>12.9065856933593</v>
      </c>
      <c r="Y24" s="30">
        <v>12.300151824951101</v>
      </c>
      <c r="Z24" s="30"/>
      <c r="AA24" s="30">
        <f t="shared" ref="AA24:AA34" si="4">P24/P24</f>
        <v>1</v>
      </c>
      <c r="AB24" s="30">
        <f t="shared" ref="AB24:AB34" si="5">Q24/P24</f>
        <v>1.0514304017113945</v>
      </c>
      <c r="AC24" s="30">
        <f t="shared" ref="AC24:AC34" si="6">R24/P24</f>
        <v>1.0461592711276475</v>
      </c>
      <c r="AD24" s="30">
        <f t="shared" ref="AD24:AD34" si="7">S24/P24</f>
        <v>1.0837868215858364</v>
      </c>
      <c r="AE24" s="30">
        <f t="shared" ref="AE24:AE34" si="8">T24/P24</f>
        <v>1.0484627828149033</v>
      </c>
      <c r="AF24" s="30">
        <f t="shared" ref="AF24:AF34" si="9">U24/P24</f>
        <v>1.0593782369716704</v>
      </c>
      <c r="AG24" s="30">
        <f t="shared" ref="AG24:AG34" si="10">V24/P24</f>
        <v>1.0012553389371015</v>
      </c>
      <c r="AH24" s="30">
        <f t="shared" ref="AH24:AH34" si="11">W24/P24</f>
        <v>0.96993239917544771</v>
      </c>
      <c r="AI24" s="30">
        <f t="shared" ref="AI24:AI34" si="12">X24/P24</f>
        <v>0.99421668407743935</v>
      </c>
      <c r="AJ24" s="30">
        <f t="shared" ref="AJ24:AJ34" si="13">Y24/P24</f>
        <v>0.9475020312571143</v>
      </c>
    </row>
    <row r="25" spans="1:36" x14ac:dyDescent="0.25">
      <c r="B25" s="30" t="s">
        <v>753</v>
      </c>
      <c r="C25" s="30">
        <v>3</v>
      </c>
      <c r="D25" s="30">
        <v>-66.92</v>
      </c>
      <c r="E25" s="30">
        <v>0.223404750227928</v>
      </c>
      <c r="F25" s="30">
        <v>1.6522091627120901</v>
      </c>
      <c r="G25" s="30">
        <v>5.41578769683837</v>
      </c>
      <c r="H25" s="30">
        <v>10.3690528869628</v>
      </c>
      <c r="I25" s="30">
        <v>1.5032322406768801</v>
      </c>
      <c r="J25" s="30">
        <v>6.7314996719360298</v>
      </c>
      <c r="K25" s="30">
        <f t="shared" si="2"/>
        <v>11.836245411191291</v>
      </c>
      <c r="L25" s="30">
        <f t="shared" si="3"/>
        <v>52.981171613922257</v>
      </c>
      <c r="M25" s="30"/>
      <c r="N25" s="30"/>
      <c r="O25" s="30"/>
      <c r="P25" s="30">
        <v>10.7525215148925</v>
      </c>
      <c r="Q25" s="30">
        <v>11.216667175292899</v>
      </c>
      <c r="R25" s="30">
        <v>12.041927337646401</v>
      </c>
      <c r="S25" s="30">
        <v>12.008968353271401</v>
      </c>
      <c r="T25" s="30">
        <v>12.121730804443301</v>
      </c>
      <c r="U25" s="30">
        <v>11.7433471679687</v>
      </c>
      <c r="V25" s="30">
        <v>11.1976661682128</v>
      </c>
      <c r="W25" s="30">
        <v>10.9463500976562</v>
      </c>
      <c r="X25" s="30">
        <v>9.6179580688476491</v>
      </c>
      <c r="Y25" s="30">
        <v>9.9902458190917898</v>
      </c>
      <c r="Z25" s="30"/>
      <c r="AA25" s="30">
        <f t="shared" si="4"/>
        <v>1</v>
      </c>
      <c r="AB25" s="30">
        <f t="shared" si="5"/>
        <v>1.0431662154553745</v>
      </c>
      <c r="AC25" s="30">
        <f t="shared" si="6"/>
        <v>1.1199166001172882</v>
      </c>
      <c r="AD25" s="30">
        <f t="shared" si="7"/>
        <v>1.1168513670620135</v>
      </c>
      <c r="AE25" s="30">
        <f t="shared" si="8"/>
        <v>1.1273384375613118</v>
      </c>
      <c r="AF25" s="30">
        <f t="shared" si="9"/>
        <v>1.0921482139518515</v>
      </c>
      <c r="AG25" s="30">
        <f t="shared" si="10"/>
        <v>1.0413990944081128</v>
      </c>
      <c r="AH25" s="30">
        <f t="shared" si="11"/>
        <v>1.0180263375893035</v>
      </c>
      <c r="AI25" s="30">
        <f t="shared" si="12"/>
        <v>0.89448396411265463</v>
      </c>
      <c r="AJ25" s="30">
        <f t="shared" si="13"/>
        <v>0.92910726151582768</v>
      </c>
    </row>
    <row r="26" spans="1:36" x14ac:dyDescent="0.25">
      <c r="B26" s="30" t="s">
        <v>754</v>
      </c>
      <c r="C26" s="30">
        <v>4</v>
      </c>
      <c r="D26" s="30">
        <v>-72.59</v>
      </c>
      <c r="E26" s="30">
        <v>0.19724527001380901</v>
      </c>
      <c r="F26" s="30">
        <v>1.7751500606536801</v>
      </c>
      <c r="G26" s="30">
        <v>4.5191879272460902</v>
      </c>
      <c r="H26" s="30">
        <v>10.080680847167899</v>
      </c>
      <c r="I26" s="30">
        <v>1.6884559392928999</v>
      </c>
      <c r="J26" s="30">
        <v>7.6210861206054599</v>
      </c>
      <c r="K26" s="30">
        <f t="shared" si="2"/>
        <v>11.340588284751117</v>
      </c>
      <c r="L26" s="30">
        <f t="shared" si="3"/>
        <v>57.494855435353003</v>
      </c>
      <c r="M26" s="30"/>
      <c r="N26" s="30"/>
      <c r="O26" s="30"/>
      <c r="P26" s="30">
        <v>10.160945892333901</v>
      </c>
      <c r="Q26" s="30">
        <v>10.6118812561035</v>
      </c>
      <c r="R26" s="30">
        <v>11.467388153076101</v>
      </c>
      <c r="S26" s="30">
        <v>11.926738739013601</v>
      </c>
      <c r="T26" s="30">
        <v>11.2759399414062</v>
      </c>
      <c r="U26" s="30">
        <v>10.464290618896401</v>
      </c>
      <c r="V26" s="30">
        <v>9.9445228576660103</v>
      </c>
      <c r="W26" s="30">
        <v>10.6017189025878</v>
      </c>
      <c r="X26" s="30">
        <v>10.453857421875</v>
      </c>
      <c r="Y26" s="30">
        <v>10.5051116943359</v>
      </c>
      <c r="Z26" s="30"/>
      <c r="AA26" s="30">
        <f t="shared" si="4"/>
        <v>1</v>
      </c>
      <c r="AB26" s="30">
        <f t="shared" si="5"/>
        <v>1.0443792702517798</v>
      </c>
      <c r="AC26" s="30">
        <f t="shared" si="6"/>
        <v>1.1285748664135558</v>
      </c>
      <c r="AD26" s="30">
        <f t="shared" si="7"/>
        <v>1.1737823294593008</v>
      </c>
      <c r="AE26" s="30">
        <f t="shared" si="8"/>
        <v>1.1097332926370098</v>
      </c>
      <c r="AF26" s="30">
        <f t="shared" si="9"/>
        <v>1.0298539850302091</v>
      </c>
      <c r="AG26" s="30">
        <f t="shared" si="10"/>
        <v>0.97870050318532109</v>
      </c>
      <c r="AH26" s="30">
        <f t="shared" si="11"/>
        <v>1.0433791317190704</v>
      </c>
      <c r="AI26" s="30">
        <f t="shared" si="12"/>
        <v>1.0288271911537381</v>
      </c>
      <c r="AJ26" s="30">
        <f t="shared" si="13"/>
        <v>1.0338714333929935</v>
      </c>
    </row>
    <row r="27" spans="1:36" x14ac:dyDescent="0.25">
      <c r="B27" s="30" t="s">
        <v>755</v>
      </c>
      <c r="C27" s="30">
        <v>5</v>
      </c>
      <c r="D27" s="30">
        <v>-74.099999999999994</v>
      </c>
      <c r="E27" s="30">
        <v>0.25433549284934998</v>
      </c>
      <c r="F27" s="30">
        <v>1.84934437274932</v>
      </c>
      <c r="G27" s="30">
        <v>5.6593322753906197</v>
      </c>
      <c r="H27" s="30">
        <v>12.1960754394531</v>
      </c>
      <c r="I27" s="30">
        <v>1.84725058078765</v>
      </c>
      <c r="J27" s="30">
        <v>8.8201990127563406</v>
      </c>
      <c r="K27" s="30">
        <f t="shared" si="2"/>
        <v>14.045463043944274</v>
      </c>
      <c r="L27" s="30">
        <f t="shared" si="3"/>
        <v>55.224156434445405</v>
      </c>
      <c r="M27" s="30"/>
      <c r="N27" s="30"/>
      <c r="O27" s="30"/>
      <c r="P27" s="30">
        <v>12.8863410949707</v>
      </c>
      <c r="Q27" s="30">
        <v>12.64058303833</v>
      </c>
      <c r="R27" s="30">
        <v>14.321632385253899</v>
      </c>
      <c r="S27" s="30">
        <v>13.2589988708496</v>
      </c>
      <c r="T27" s="30">
        <v>13.4514389038085</v>
      </c>
      <c r="U27" s="30">
        <v>14.5833396911621</v>
      </c>
      <c r="V27" s="30">
        <v>13.327278137206999</v>
      </c>
      <c r="W27" s="30">
        <v>14.5022430419921</v>
      </c>
      <c r="X27" s="30">
        <v>12.186840057373001</v>
      </c>
      <c r="Y27" s="30">
        <v>12.8530769348144</v>
      </c>
      <c r="Z27" s="30"/>
      <c r="AA27" s="30">
        <f t="shared" si="4"/>
        <v>1</v>
      </c>
      <c r="AB27" s="30">
        <f t="shared" si="5"/>
        <v>0.98092879469591143</v>
      </c>
      <c r="AC27" s="30">
        <f t="shared" si="6"/>
        <v>1.1113808240605525</v>
      </c>
      <c r="AD27" s="30">
        <f t="shared" si="7"/>
        <v>1.0289188197900754</v>
      </c>
      <c r="AE27" s="30">
        <f t="shared" si="8"/>
        <v>1.0438524639906006</v>
      </c>
      <c r="AF27" s="30">
        <f t="shared" si="9"/>
        <v>1.1316897157761645</v>
      </c>
      <c r="AG27" s="30">
        <f t="shared" si="10"/>
        <v>1.0342173964655017</v>
      </c>
      <c r="AH27" s="30">
        <f t="shared" si="11"/>
        <v>1.1253964903701066</v>
      </c>
      <c r="AI27" s="30">
        <f t="shared" si="12"/>
        <v>0.94571763757900984</v>
      </c>
      <c r="AJ27" s="30">
        <f t="shared" si="13"/>
        <v>0.99741864972290062</v>
      </c>
    </row>
    <row r="28" spans="1:36" x14ac:dyDescent="0.25">
      <c r="B28" s="30" t="s">
        <v>756</v>
      </c>
      <c r="C28" s="30">
        <v>6</v>
      </c>
      <c r="D28" s="30">
        <v>-65.95</v>
      </c>
      <c r="E28" s="30">
        <v>0.19145217537879899</v>
      </c>
      <c r="F28" s="30">
        <v>1.6519625186920099</v>
      </c>
      <c r="G28" s="30">
        <v>5.6168971061706499</v>
      </c>
      <c r="H28" s="30">
        <v>11.511348724365201</v>
      </c>
      <c r="I28" s="30">
        <v>1.3543838262557899</v>
      </c>
      <c r="J28" s="30">
        <v>6.7359147071838299</v>
      </c>
      <c r="K28" s="30">
        <f t="shared" si="2"/>
        <v>13.379646200975436</v>
      </c>
      <c r="L28" s="30">
        <f t="shared" si="3"/>
        <v>69.885057061916626</v>
      </c>
      <c r="M28" s="30"/>
      <c r="N28" s="30"/>
      <c r="O28" s="30"/>
      <c r="P28" s="30">
        <v>11.006584167480399</v>
      </c>
      <c r="Q28" s="30">
        <v>13.3305549621582</v>
      </c>
      <c r="R28" s="30">
        <v>13.214557647705</v>
      </c>
      <c r="S28" s="30">
        <v>13.4843788146972</v>
      </c>
      <c r="T28" s="30">
        <v>11.8640747070312</v>
      </c>
      <c r="U28" s="30">
        <v>12.1597595214843</v>
      </c>
      <c r="V28" s="30">
        <v>11.3281707763671</v>
      </c>
      <c r="W28" s="30">
        <v>12.2246589660644</v>
      </c>
      <c r="X28" s="30">
        <v>11.0869483947753</v>
      </c>
      <c r="Y28" s="30">
        <v>10.898494720458901</v>
      </c>
      <c r="Z28" s="30"/>
      <c r="AA28" s="30">
        <f t="shared" si="4"/>
        <v>1</v>
      </c>
      <c r="AB28" s="30">
        <f t="shared" si="5"/>
        <v>1.2111436899328047</v>
      </c>
      <c r="AC28" s="30">
        <f t="shared" si="6"/>
        <v>1.2006047877004555</v>
      </c>
      <c r="AD28" s="30">
        <f t="shared" si="7"/>
        <v>1.225119311269848</v>
      </c>
      <c r="AE28" s="30">
        <f t="shared" si="8"/>
        <v>1.0779070533148973</v>
      </c>
      <c r="AF28" s="30">
        <f t="shared" si="9"/>
        <v>1.1047714110442208</v>
      </c>
      <c r="AG28" s="30">
        <f t="shared" si="10"/>
        <v>1.0292176577213525</v>
      </c>
      <c r="AH28" s="30">
        <f t="shared" si="11"/>
        <v>1.1106678311862526</v>
      </c>
      <c r="AI28" s="30">
        <f t="shared" si="12"/>
        <v>1.0073014684730566</v>
      </c>
      <c r="AJ28" s="30">
        <f t="shared" si="13"/>
        <v>0.99017956476080426</v>
      </c>
    </row>
    <row r="29" spans="1:36" x14ac:dyDescent="0.25">
      <c r="B29" s="30" t="s">
        <v>757</v>
      </c>
      <c r="C29" s="30">
        <v>7</v>
      </c>
      <c r="D29" s="30">
        <v>-59.95</v>
      </c>
      <c r="E29" s="30">
        <v>0.26793012022972101</v>
      </c>
      <c r="F29" s="30">
        <v>1.54043996334075</v>
      </c>
      <c r="G29" s="30">
        <v>8.1416664123535103</v>
      </c>
      <c r="H29" s="30">
        <v>11.7104034423828</v>
      </c>
      <c r="I29" s="30">
        <v>1.4576344490051201</v>
      </c>
      <c r="J29" s="30">
        <v>7.4990658760070801</v>
      </c>
      <c r="K29" s="30">
        <f t="shared" si="2"/>
        <v>13.879308172309862</v>
      </c>
      <c r="L29" s="30">
        <f t="shared" si="3"/>
        <v>51.801970455616789</v>
      </c>
      <c r="M29" s="30"/>
      <c r="N29" s="30"/>
      <c r="O29" s="30"/>
      <c r="P29" s="30">
        <v>12.0677337646484</v>
      </c>
      <c r="Q29" s="30">
        <v>11.458209991455</v>
      </c>
      <c r="R29" s="30">
        <v>13.674587249755801</v>
      </c>
      <c r="S29" s="30">
        <v>13.6578712463378</v>
      </c>
      <c r="T29" s="30">
        <v>13.2664184570312</v>
      </c>
      <c r="U29" s="30">
        <v>13.134075164794901</v>
      </c>
      <c r="V29" s="30">
        <v>13.255851745605399</v>
      </c>
      <c r="W29" s="30">
        <v>12.6238708496093</v>
      </c>
      <c r="X29" s="30">
        <v>12.260189056396401</v>
      </c>
      <c r="Y29" s="30">
        <v>11.972454071044901</v>
      </c>
      <c r="Z29" s="30"/>
      <c r="AA29" s="30">
        <f t="shared" si="4"/>
        <v>1</v>
      </c>
      <c r="AB29" s="30">
        <f t="shared" si="5"/>
        <v>0.94949144677197317</v>
      </c>
      <c r="AC29" s="30">
        <f t="shared" si="6"/>
        <v>1.1331528782822975</v>
      </c>
      <c r="AD29" s="30">
        <f t="shared" si="7"/>
        <v>1.131767696628144</v>
      </c>
      <c r="AE29" s="30">
        <f t="shared" si="8"/>
        <v>1.0993297263396931</v>
      </c>
      <c r="AF29" s="30">
        <f t="shared" si="9"/>
        <v>1.0883630200121148</v>
      </c>
      <c r="AG29" s="30">
        <f t="shared" si="10"/>
        <v>1.0984541094565337</v>
      </c>
      <c r="AH29" s="30">
        <f t="shared" si="11"/>
        <v>1.0460846332714155</v>
      </c>
      <c r="AI29" s="30">
        <f t="shared" si="12"/>
        <v>1.015947923239058</v>
      </c>
      <c r="AJ29" s="30">
        <f t="shared" si="13"/>
        <v>0.99210459101421222</v>
      </c>
    </row>
    <row r="30" spans="1:36" x14ac:dyDescent="0.25">
      <c r="B30" s="30" t="s">
        <v>758</v>
      </c>
      <c r="C30" s="30">
        <v>8</v>
      </c>
      <c r="D30" s="30">
        <v>-64.14</v>
      </c>
      <c r="E30" s="30">
        <v>0.23754483461379999</v>
      </c>
      <c r="F30" s="30">
        <v>1.51261258125305</v>
      </c>
      <c r="G30" s="30">
        <v>5.07551670074462</v>
      </c>
      <c r="H30" s="30">
        <v>11.8834419250488</v>
      </c>
      <c r="I30" s="30">
        <v>1.5280722379684399</v>
      </c>
      <c r="J30" s="30">
        <v>7.2912654876708896</v>
      </c>
      <c r="K30" s="30">
        <f t="shared" si="2"/>
        <v>13.951284510087206</v>
      </c>
      <c r="L30" s="30">
        <f t="shared" si="3"/>
        <v>58.731163457076143</v>
      </c>
      <c r="M30" s="30"/>
      <c r="N30" s="30"/>
      <c r="O30" s="30"/>
      <c r="P30" s="30">
        <v>12.148494720458901</v>
      </c>
      <c r="Q30" s="30">
        <v>13.2618408203125</v>
      </c>
      <c r="R30" s="30">
        <v>13.280632019042899</v>
      </c>
      <c r="S30" s="30">
        <v>13.1581001281738</v>
      </c>
      <c r="T30" s="30">
        <v>14.0922737121582</v>
      </c>
      <c r="U30" s="30">
        <v>12.9951171875</v>
      </c>
      <c r="V30" s="30">
        <v>12.631217956542899</v>
      </c>
      <c r="W30" s="30">
        <v>13.7623291015625</v>
      </c>
      <c r="X30" s="30">
        <v>12.4358825683593</v>
      </c>
      <c r="Y30" s="30">
        <v>11.887199401855399</v>
      </c>
      <c r="Z30" s="30"/>
      <c r="AA30" s="30">
        <f t="shared" si="4"/>
        <v>1</v>
      </c>
      <c r="AB30" s="30">
        <f t="shared" si="5"/>
        <v>1.0916447778487854</v>
      </c>
      <c r="AC30" s="30">
        <f t="shared" si="6"/>
        <v>1.0931915702014836</v>
      </c>
      <c r="AD30" s="30">
        <f t="shared" si="7"/>
        <v>1.083105391321828</v>
      </c>
      <c r="AE30" s="30">
        <f t="shared" si="8"/>
        <v>1.1600016328299374</v>
      </c>
      <c r="AF30" s="30">
        <f t="shared" si="9"/>
        <v>1.0696894954084581</v>
      </c>
      <c r="AG30" s="30">
        <f t="shared" si="10"/>
        <v>1.0397352303467737</v>
      </c>
      <c r="AH30" s="30">
        <f t="shared" si="11"/>
        <v>1.1328423329999717</v>
      </c>
      <c r="AI30" s="30">
        <f t="shared" si="12"/>
        <v>1.023656251619093</v>
      </c>
      <c r="AJ30" s="30">
        <f t="shared" si="13"/>
        <v>0.9784915477500713</v>
      </c>
    </row>
    <row r="31" spans="1:36" x14ac:dyDescent="0.25">
      <c r="B31" s="30" t="s">
        <v>759</v>
      </c>
      <c r="C31" s="30">
        <v>9</v>
      </c>
      <c r="D31" s="30">
        <v>-61.49</v>
      </c>
      <c r="E31" s="30">
        <v>0.19163429737091101</v>
      </c>
      <c r="F31" s="30">
        <v>1.3740820884704501</v>
      </c>
      <c r="G31" s="30">
        <v>4.6191034317016602</v>
      </c>
      <c r="H31" s="30">
        <v>12.2937049865722</v>
      </c>
      <c r="I31" s="30">
        <v>1.14913070201873</v>
      </c>
      <c r="J31" s="30">
        <v>7.9493556022643999</v>
      </c>
      <c r="K31" s="30">
        <f t="shared" si="2"/>
        <v>14.634389558205292</v>
      </c>
      <c r="L31" s="30">
        <f t="shared" si="3"/>
        <v>76.366233805633527</v>
      </c>
      <c r="M31" s="30"/>
      <c r="N31" s="30"/>
      <c r="O31" s="30"/>
      <c r="P31" s="30">
        <v>11.6929969787597</v>
      </c>
      <c r="Q31" s="30">
        <v>13.8721580505371</v>
      </c>
      <c r="R31" s="30">
        <v>13.25532913208</v>
      </c>
      <c r="S31" s="30">
        <v>13.251762390136699</v>
      </c>
      <c r="T31" s="30">
        <v>13.417091369628899</v>
      </c>
      <c r="U31" s="30">
        <v>12.2700653076171</v>
      </c>
      <c r="V31" s="30">
        <v>12.4306030273437</v>
      </c>
      <c r="W31" s="30">
        <v>11.989906311035099</v>
      </c>
      <c r="X31" s="30">
        <v>11.0928421020507</v>
      </c>
      <c r="Y31" s="30">
        <v>9.8052062988281197</v>
      </c>
      <c r="Z31" s="30"/>
      <c r="AA31" s="30">
        <f t="shared" si="4"/>
        <v>1</v>
      </c>
      <c r="AB31" s="30">
        <f t="shared" si="5"/>
        <v>1.1863646313888425</v>
      </c>
      <c r="AC31" s="30">
        <f t="shared" si="6"/>
        <v>1.1336126363633099</v>
      </c>
      <c r="AD31" s="30">
        <f t="shared" si="7"/>
        <v>1.1333076040478325</v>
      </c>
      <c r="AE31" s="30">
        <f t="shared" si="8"/>
        <v>1.1474467490243103</v>
      </c>
      <c r="AF31" s="30">
        <f t="shared" si="9"/>
        <v>1.0493516187428804</v>
      </c>
      <c r="AG31" s="30">
        <f t="shared" si="10"/>
        <v>1.0630810090795251</v>
      </c>
      <c r="AH31" s="30">
        <f t="shared" si="11"/>
        <v>1.0253920643967269</v>
      </c>
      <c r="AI31" s="30">
        <f t="shared" si="12"/>
        <v>0.94867399026963062</v>
      </c>
      <c r="AJ31" s="30">
        <f t="shared" si="13"/>
        <v>0.8385537357650269</v>
      </c>
    </row>
    <row r="32" spans="1:36" x14ac:dyDescent="0.25">
      <c r="B32" s="30" t="s">
        <v>760</v>
      </c>
      <c r="C32" s="30">
        <v>10</v>
      </c>
      <c r="D32" s="30">
        <v>-67.06</v>
      </c>
      <c r="E32" s="30">
        <v>0.386907488107681</v>
      </c>
      <c r="F32" s="30">
        <v>1.4679148197173999</v>
      </c>
      <c r="G32" s="30">
        <v>9.4432821273803693</v>
      </c>
      <c r="H32" s="30">
        <v>19.4949951171875</v>
      </c>
      <c r="I32" s="30">
        <v>1.53760945796966</v>
      </c>
      <c r="J32" s="30">
        <v>10.527264595031699</v>
      </c>
      <c r="K32" s="30">
        <f t="shared" si="2"/>
        <v>25.402888880160091</v>
      </c>
      <c r="L32" s="30">
        <f t="shared" si="3"/>
        <v>65.656234787294068</v>
      </c>
      <c r="M32" s="30" t="s">
        <v>761</v>
      </c>
      <c r="N32" s="30"/>
      <c r="O32" s="30"/>
      <c r="P32" s="30">
        <v>18.477378845214801</v>
      </c>
      <c r="Q32" s="30">
        <v>21.3723449707031</v>
      </c>
      <c r="R32" s="30">
        <v>20.904430389404201</v>
      </c>
      <c r="S32" s="30">
        <v>21.321590423583899</v>
      </c>
      <c r="T32" s="30">
        <v>20.855022430419901</v>
      </c>
      <c r="U32" s="30">
        <v>20.248794555663999</v>
      </c>
      <c r="V32" s="30">
        <v>19.7285957336425</v>
      </c>
      <c r="W32" s="30">
        <v>19.809078216552699</v>
      </c>
      <c r="X32" s="30">
        <v>19.273292541503899</v>
      </c>
      <c r="Y32" s="30">
        <v>17.850444793701101</v>
      </c>
      <c r="Z32" s="30"/>
      <c r="AA32" s="30">
        <f t="shared" si="4"/>
        <v>1</v>
      </c>
      <c r="AB32" s="30">
        <f t="shared" si="5"/>
        <v>1.1566762336660119</v>
      </c>
      <c r="AC32" s="30">
        <f t="shared" si="6"/>
        <v>1.1313525887259679</v>
      </c>
      <c r="AD32" s="30">
        <f t="shared" si="7"/>
        <v>1.1539293858828727</v>
      </c>
      <c r="AE32" s="30">
        <f t="shared" si="8"/>
        <v>1.1286786186029223</v>
      </c>
      <c r="AF32" s="30">
        <f t="shared" si="9"/>
        <v>1.0958694263557816</v>
      </c>
      <c r="AG32" s="30">
        <f t="shared" si="10"/>
        <v>1.0677161462623652</v>
      </c>
      <c r="AH32" s="30">
        <f t="shared" si="11"/>
        <v>1.0720718767793613</v>
      </c>
      <c r="AI32" s="30">
        <f t="shared" si="12"/>
        <v>1.043075032609142</v>
      </c>
      <c r="AJ32" s="30">
        <f t="shared" si="13"/>
        <v>0.96607018469635042</v>
      </c>
    </row>
    <row r="33" spans="1:36" x14ac:dyDescent="0.25">
      <c r="B33" s="30" t="s">
        <v>762</v>
      </c>
      <c r="C33" s="30">
        <v>11</v>
      </c>
      <c r="D33" s="30">
        <v>-65.73</v>
      </c>
      <c r="E33" s="30">
        <v>0.13768333196640001</v>
      </c>
      <c r="F33" s="30">
        <v>0.89805573225021396</v>
      </c>
      <c r="G33" s="30">
        <v>2.6820833683013898</v>
      </c>
      <c r="H33" s="30">
        <v>12.6252098083496</v>
      </c>
      <c r="I33" s="30">
        <v>0.99553483724594105</v>
      </c>
      <c r="J33" s="30">
        <v>6.4401798248290998</v>
      </c>
      <c r="K33" s="30">
        <f t="shared" si="2"/>
        <v>14.917446423632407</v>
      </c>
      <c r="L33" s="30">
        <f t="shared" si="3"/>
        <v>108.34605910955753</v>
      </c>
      <c r="M33" s="30"/>
      <c r="N33" s="30"/>
      <c r="O33" s="30"/>
      <c r="P33" s="30">
        <v>11.8210792541503</v>
      </c>
      <c r="Q33" s="30">
        <v>12.865909576416</v>
      </c>
      <c r="R33" s="30">
        <v>12.813163757324199</v>
      </c>
      <c r="S33" s="30">
        <v>12.8296775817871</v>
      </c>
      <c r="T33" s="30">
        <v>12.312873840331999</v>
      </c>
      <c r="U33" s="30">
        <v>11.4701423645019</v>
      </c>
      <c r="V33" s="30">
        <v>11.710948944091699</v>
      </c>
      <c r="W33" s="30">
        <v>11.562171936035099</v>
      </c>
      <c r="X33" s="30">
        <v>10.4149208068847</v>
      </c>
      <c r="Y33" s="30">
        <v>10.7260398864746</v>
      </c>
      <c r="Z33" s="30"/>
      <c r="AA33" s="30">
        <f t="shared" si="4"/>
        <v>1</v>
      </c>
      <c r="AB33" s="30">
        <f t="shared" si="5"/>
        <v>1.0883870499302224</v>
      </c>
      <c r="AC33" s="30">
        <f t="shared" si="6"/>
        <v>1.0839250361024002</v>
      </c>
      <c r="AD33" s="30">
        <f t="shared" si="7"/>
        <v>1.0853220172162106</v>
      </c>
      <c r="AE33" s="30">
        <f t="shared" si="8"/>
        <v>1.0416031883052501</v>
      </c>
      <c r="AF33" s="30">
        <f t="shared" si="9"/>
        <v>0.97031261849249606</v>
      </c>
      <c r="AG33" s="30">
        <f t="shared" si="10"/>
        <v>0.99068356554500425</v>
      </c>
      <c r="AH33" s="30">
        <f t="shared" si="11"/>
        <v>0.97809782740232454</v>
      </c>
      <c r="AI33" s="30">
        <f t="shared" si="12"/>
        <v>0.88104652569925812</v>
      </c>
      <c r="AJ33" s="30">
        <f t="shared" si="13"/>
        <v>0.90736553371036421</v>
      </c>
    </row>
    <row r="34" spans="1:36" x14ac:dyDescent="0.25">
      <c r="B34" s="30" t="s">
        <v>763</v>
      </c>
      <c r="C34" s="30">
        <v>12</v>
      </c>
      <c r="D34" s="30">
        <v>-62.93</v>
      </c>
      <c r="E34" s="30">
        <v>0.18351784348487901</v>
      </c>
      <c r="F34" s="30">
        <v>0.97070682048797596</v>
      </c>
      <c r="G34" s="30">
        <v>3.4031352996826101</v>
      </c>
      <c r="H34" s="30">
        <v>14.5343322753906</v>
      </c>
      <c r="I34" s="30">
        <v>1.01771712303161</v>
      </c>
      <c r="J34" s="30">
        <v>5.6786189079284597</v>
      </c>
      <c r="K34" s="30">
        <f t="shared" si="2"/>
        <v>17.828466852861059</v>
      </c>
      <c r="L34" s="30">
        <f t="shared" si="3"/>
        <v>97.148410826492949</v>
      </c>
      <c r="M34" s="30"/>
      <c r="N34" s="30"/>
      <c r="O34" s="30"/>
      <c r="P34" s="30">
        <v>13.935340881347599</v>
      </c>
      <c r="Q34" s="30">
        <v>15.3201179504394</v>
      </c>
      <c r="R34" s="30">
        <v>16.2860794067382</v>
      </c>
      <c r="S34" s="30">
        <v>15.502861022949199</v>
      </c>
      <c r="T34" s="30">
        <v>15.476757049560501</v>
      </c>
      <c r="U34" s="30">
        <v>14.408851623535099</v>
      </c>
      <c r="V34" s="30">
        <v>14.528423309326101</v>
      </c>
      <c r="W34" s="30">
        <v>14.020057678222599</v>
      </c>
      <c r="X34" s="30">
        <v>13.427772521972599</v>
      </c>
      <c r="Y34" s="30">
        <v>13.2389411926269</v>
      </c>
      <c r="Z34" s="30"/>
      <c r="AA34" s="30">
        <f t="shared" si="4"/>
        <v>1</v>
      </c>
      <c r="AB34" s="30">
        <f t="shared" si="5"/>
        <v>1.0993715963522155</v>
      </c>
      <c r="AC34" s="30">
        <f t="shared" si="6"/>
        <v>1.168688986183112</v>
      </c>
      <c r="AD34" s="30">
        <f t="shared" si="7"/>
        <v>1.1124852384271215</v>
      </c>
      <c r="AE34" s="30">
        <f t="shared" si="8"/>
        <v>1.1106120174122243</v>
      </c>
      <c r="AF34" s="30">
        <f t="shared" si="9"/>
        <v>1.0339791287647144</v>
      </c>
      <c r="AG34" s="30">
        <f t="shared" si="10"/>
        <v>1.0425595924081297</v>
      </c>
      <c r="AH34" s="30">
        <f t="shared" si="11"/>
        <v>1.0060792769689899</v>
      </c>
      <c r="AI34" s="30">
        <f t="shared" si="12"/>
        <v>0.96357689677657055</v>
      </c>
      <c r="AJ34" s="30">
        <f t="shared" si="13"/>
        <v>0.95002636141805274</v>
      </c>
    </row>
    <row r="36" spans="1:36" x14ac:dyDescent="0.25">
      <c r="A36" t="s">
        <v>890</v>
      </c>
      <c r="B36" s="30" t="s">
        <v>891</v>
      </c>
      <c r="C36" s="30">
        <v>1</v>
      </c>
      <c r="D36" s="30">
        <v>-63.82</v>
      </c>
      <c r="E36">
        <v>0.22767452895641299</v>
      </c>
      <c r="F36">
        <v>1.1076345443725499</v>
      </c>
      <c r="G36">
        <v>5.6816210746765101</v>
      </c>
      <c r="H36">
        <v>15.852928161621</v>
      </c>
      <c r="I36">
        <v>1.0562705993652299</v>
      </c>
      <c r="J36">
        <v>6.5243172645568803</v>
      </c>
      <c r="K36" s="30">
        <f t="shared" si="2"/>
        <v>19.784517424449394</v>
      </c>
      <c r="L36" s="30">
        <f t="shared" si="3"/>
        <v>86.898246875200641</v>
      </c>
      <c r="P36">
        <v>16.650382995605401</v>
      </c>
      <c r="Q36">
        <v>17.474357604980401</v>
      </c>
      <c r="R36">
        <v>17.901603698730401</v>
      </c>
      <c r="S36">
        <v>17.230216979980401</v>
      </c>
      <c r="T36">
        <v>16.589347839355401</v>
      </c>
      <c r="U36">
        <v>16.345207214355401</v>
      </c>
      <c r="V36">
        <v>15.643302917480399</v>
      </c>
      <c r="W36">
        <v>15.521232604980399</v>
      </c>
      <c r="X36">
        <v>14.208976745605399</v>
      </c>
      <c r="Y36">
        <v>14.758293151855399</v>
      </c>
      <c r="AA36" s="30">
        <f t="shared" ref="AA36" si="14">P36/P36</f>
        <v>1</v>
      </c>
      <c r="AB36" s="30">
        <f t="shared" ref="AB36" si="15">Q36/P36</f>
        <v>1.049486826194477</v>
      </c>
      <c r="AC36" s="30">
        <f t="shared" ref="AC36" si="16">R36/P36</f>
        <v>1.0751466619990206</v>
      </c>
      <c r="AD36" s="30">
        <f t="shared" ref="AD36" si="17">S36/P36</f>
        <v>1.0348240628775949</v>
      </c>
      <c r="AE36" s="30">
        <f t="shared" ref="AE36" si="18">T36/P36</f>
        <v>0.99633430917077948</v>
      </c>
      <c r="AF36" s="30">
        <f t="shared" ref="AF36" si="19">U36/P36</f>
        <v>0.98167154585389738</v>
      </c>
      <c r="AG36" s="30">
        <f t="shared" ref="AG36" si="20">V36/P36</f>
        <v>0.93951610131786134</v>
      </c>
      <c r="AH36" s="30">
        <f t="shared" ref="AH36" si="21">W36/P36</f>
        <v>0.93218471965942029</v>
      </c>
      <c r="AI36" s="30">
        <f t="shared" ref="AI36" si="22">X36/P36</f>
        <v>0.85337236683117912</v>
      </c>
      <c r="AJ36" s="30">
        <f t="shared" ref="AJ36" si="23">Y36/P36</f>
        <v>0.88636358429416384</v>
      </c>
    </row>
    <row r="37" spans="1:36" x14ac:dyDescent="0.25">
      <c r="B37" s="30" t="s">
        <v>892</v>
      </c>
      <c r="C37" s="30">
        <v>2</v>
      </c>
      <c r="D37" s="30">
        <v>-66.45</v>
      </c>
      <c r="E37">
        <v>0.18292288482189201</v>
      </c>
      <c r="F37">
        <v>1.11471283435821</v>
      </c>
      <c r="G37">
        <v>3.9484159946441602</v>
      </c>
      <c r="H37">
        <v>13.9508934020996</v>
      </c>
      <c r="I37">
        <v>1.1749519109725901</v>
      </c>
      <c r="J37">
        <v>6.0188937187194798</v>
      </c>
      <c r="K37" s="30">
        <f t="shared" ref="K37:K41" si="24">H37/(1-(0.8*(H37/(ABS(D37)))))</f>
        <v>16.767025688664891</v>
      </c>
      <c r="L37" s="30">
        <f t="shared" ref="L37:L41" si="25">K37/E37</f>
        <v>91.661716930555599</v>
      </c>
      <c r="AA37" s="30" t="e">
        <f t="shared" ref="AA37:AA42" si="26">P37/P37</f>
        <v>#DIV/0!</v>
      </c>
      <c r="AB37" s="30" t="e">
        <f t="shared" ref="AB37:AB42" si="27">Q37/P37</f>
        <v>#DIV/0!</v>
      </c>
      <c r="AC37" s="30" t="e">
        <f t="shared" ref="AC37:AC42" si="28">R37/P37</f>
        <v>#DIV/0!</v>
      </c>
      <c r="AD37" s="30" t="e">
        <f t="shared" ref="AD37:AD42" si="29">S37/P37</f>
        <v>#DIV/0!</v>
      </c>
      <c r="AE37" s="30" t="e">
        <f t="shared" ref="AE37:AE42" si="30">T37/P37</f>
        <v>#DIV/0!</v>
      </c>
      <c r="AF37" s="30" t="e">
        <f t="shared" ref="AF37:AF42" si="31">U37/P37</f>
        <v>#DIV/0!</v>
      </c>
      <c r="AG37" s="30" t="e">
        <f t="shared" ref="AG37:AG42" si="32">V37/P37</f>
        <v>#DIV/0!</v>
      </c>
      <c r="AH37" s="30" t="e">
        <f t="shared" ref="AH37:AH42" si="33">W37/P37</f>
        <v>#DIV/0!</v>
      </c>
      <c r="AI37" s="30" t="e">
        <f t="shared" ref="AI37:AI42" si="34">X37/P37</f>
        <v>#DIV/0!</v>
      </c>
      <c r="AJ37" s="30" t="e">
        <f t="shared" ref="AJ37:AJ42" si="35">Y37/P37</f>
        <v>#DIV/0!</v>
      </c>
    </row>
    <row r="38" spans="1:36" x14ac:dyDescent="0.25">
      <c r="B38" s="30" t="s">
        <v>893</v>
      </c>
      <c r="C38" s="30">
        <v>3</v>
      </c>
      <c r="D38" s="30">
        <v>-66.83</v>
      </c>
      <c r="E38">
        <v>0.15570785105228399</v>
      </c>
      <c r="F38">
        <v>1.7473733425140301</v>
      </c>
      <c r="G38">
        <v>4.3769426345825204</v>
      </c>
      <c r="H38">
        <v>8.2840595245361293</v>
      </c>
      <c r="I38">
        <v>1.2799928188323899</v>
      </c>
      <c r="J38">
        <v>6.4062213897704998</v>
      </c>
      <c r="K38" s="30">
        <f t="shared" si="24"/>
        <v>9.1959864978740846</v>
      </c>
      <c r="L38" s="30">
        <f t="shared" si="25"/>
        <v>59.059234558353978</v>
      </c>
      <c r="P38">
        <v>7.8347892761230398</v>
      </c>
      <c r="Q38">
        <v>8.6816902160644496</v>
      </c>
      <c r="R38">
        <v>8.5603332519531197</v>
      </c>
      <c r="S38">
        <v>8.5139999389648402</v>
      </c>
      <c r="T38">
        <v>7.87493896484375</v>
      </c>
      <c r="U38">
        <v>7.9265708923339799</v>
      </c>
      <c r="V38">
        <v>7.1271514892578098</v>
      </c>
      <c r="W38">
        <v>7.1148338317870996</v>
      </c>
      <c r="X38">
        <v>7.1778450012206996</v>
      </c>
      <c r="Y38">
        <v>6.4481887817382804</v>
      </c>
      <c r="AA38" s="30">
        <f t="shared" si="26"/>
        <v>1</v>
      </c>
      <c r="AB38" s="30">
        <f t="shared" si="27"/>
        <v>1.1080949225427654</v>
      </c>
      <c r="AC38" s="30">
        <f t="shared" si="28"/>
        <v>1.0926054231019608</v>
      </c>
      <c r="AD38" s="30">
        <f t="shared" si="29"/>
        <v>1.086691631249322</v>
      </c>
      <c r="AE38" s="30">
        <f t="shared" si="30"/>
        <v>1.0051245397043502</v>
      </c>
      <c r="AF38" s="30">
        <f t="shared" si="31"/>
        <v>1.011714624730323</v>
      </c>
      <c r="AG38" s="30">
        <f t="shared" si="32"/>
        <v>0.90968004857235973</v>
      </c>
      <c r="AH38" s="30">
        <f t="shared" si="33"/>
        <v>0.90810787387351377</v>
      </c>
      <c r="AI38" s="30">
        <f t="shared" si="34"/>
        <v>0.91615035813350909</v>
      </c>
      <c r="AJ38" s="30">
        <f t="shared" si="35"/>
        <v>0.82302006531171146</v>
      </c>
    </row>
    <row r="39" spans="1:36" x14ac:dyDescent="0.25">
      <c r="B39" s="30" t="s">
        <v>894</v>
      </c>
      <c r="C39" s="30">
        <v>4</v>
      </c>
      <c r="D39" s="30">
        <v>-67.959999999999994</v>
      </c>
      <c r="E39">
        <v>0.12861166894435899</v>
      </c>
      <c r="F39">
        <v>0.81918096542358398</v>
      </c>
      <c r="G39">
        <v>3.5267417430877601</v>
      </c>
      <c r="H39">
        <v>8.5531654357910103</v>
      </c>
      <c r="I39">
        <v>0.87365430593490601</v>
      </c>
      <c r="J39">
        <v>5.5790786743164</v>
      </c>
      <c r="K39" s="30">
        <f t="shared" si="24"/>
        <v>9.5107527414603865</v>
      </c>
      <c r="L39" s="30">
        <f t="shared" si="25"/>
        <v>73.949376596419128</v>
      </c>
      <c r="P39">
        <v>8.0411262512206996</v>
      </c>
      <c r="Q39">
        <v>9.5166320800781197</v>
      </c>
      <c r="R39">
        <v>9.5990791320800692</v>
      </c>
      <c r="S39">
        <v>9.7500991821288991</v>
      </c>
      <c r="T39">
        <v>9.0724983215331996</v>
      </c>
      <c r="U39">
        <v>9.3050346374511701</v>
      </c>
      <c r="V39">
        <v>8.5411186218261701</v>
      </c>
      <c r="W39">
        <v>8.4448547363281197</v>
      </c>
      <c r="X39">
        <v>8.0751724243163991</v>
      </c>
      <c r="Y39">
        <v>7.4729347229003897</v>
      </c>
      <c r="AA39" s="30">
        <f t="shared" si="26"/>
        <v>1</v>
      </c>
      <c r="AB39" s="30">
        <f t="shared" si="27"/>
        <v>1.1834949213281445</v>
      </c>
      <c r="AC39" s="30">
        <f t="shared" si="28"/>
        <v>1.1937480935115106</v>
      </c>
      <c r="AD39" s="30">
        <f t="shared" si="29"/>
        <v>1.2125290509707847</v>
      </c>
      <c r="AE39" s="30">
        <f t="shared" si="30"/>
        <v>1.1282621411591356</v>
      </c>
      <c r="AF39" s="30">
        <f t="shared" si="31"/>
        <v>1.1571805175970966</v>
      </c>
      <c r="AG39" s="30">
        <f t="shared" si="32"/>
        <v>1.0621793956449281</v>
      </c>
      <c r="AH39" s="30">
        <f t="shared" si="33"/>
        <v>1.0502079525298003</v>
      </c>
      <c r="AI39" s="30">
        <f t="shared" si="34"/>
        <v>1.0042340055400238</v>
      </c>
      <c r="AJ39" s="30">
        <f t="shared" si="35"/>
        <v>0.9293393101203884</v>
      </c>
    </row>
    <row r="40" spans="1:36" x14ac:dyDescent="0.25">
      <c r="B40" s="30" t="s">
        <v>895</v>
      </c>
      <c r="C40" s="30">
        <v>5</v>
      </c>
      <c r="D40" s="30">
        <v>-60.01</v>
      </c>
      <c r="E40">
        <v>0.24148470163345301</v>
      </c>
      <c r="F40">
        <v>0.71632611751556396</v>
      </c>
      <c r="G40">
        <v>3.7322125434875399</v>
      </c>
      <c r="H40">
        <v>16.488231658935501</v>
      </c>
      <c r="I40">
        <v>0.77428144216537498</v>
      </c>
      <c r="J40">
        <v>4.9990496635437003</v>
      </c>
      <c r="K40" s="30">
        <f t="shared" si="24"/>
        <v>21.133514563702153</v>
      </c>
      <c r="L40" s="30">
        <f t="shared" si="25"/>
        <v>87.514920907000075</v>
      </c>
      <c r="P40">
        <v>15.7355690002441</v>
      </c>
      <c r="Q40">
        <v>18.60009765625</v>
      </c>
      <c r="R40">
        <v>17.634147644042901</v>
      </c>
      <c r="S40">
        <v>19.858974456787099</v>
      </c>
      <c r="T40">
        <v>17.609207153320298</v>
      </c>
      <c r="U40">
        <v>18.1604194641113</v>
      </c>
      <c r="V40">
        <v>17.972835540771399</v>
      </c>
      <c r="W40">
        <v>17.2419624328613</v>
      </c>
      <c r="X40">
        <v>16.5841255187988</v>
      </c>
      <c r="Y40">
        <v>14.777961730956999</v>
      </c>
      <c r="AA40" s="30">
        <f t="shared" si="26"/>
        <v>1</v>
      </c>
      <c r="AB40" s="30">
        <f t="shared" si="27"/>
        <v>1.1820416316665425</v>
      </c>
      <c r="AC40" s="30">
        <f t="shared" si="28"/>
        <v>1.1206552266250651</v>
      </c>
      <c r="AD40" s="30">
        <f t="shared" si="29"/>
        <v>1.2620436195525586</v>
      </c>
      <c r="AE40" s="30">
        <f t="shared" si="30"/>
        <v>1.1190702511645516</v>
      </c>
      <c r="AF40" s="30">
        <f t="shared" si="31"/>
        <v>1.1540999543028654</v>
      </c>
      <c r="AG40" s="30">
        <f t="shared" si="32"/>
        <v>1.1421789412567536</v>
      </c>
      <c r="AH40" s="30">
        <f t="shared" si="33"/>
        <v>1.0957317420548207</v>
      </c>
      <c r="AI40" s="30">
        <f t="shared" si="34"/>
        <v>1.0539260142764164</v>
      </c>
      <c r="AJ40" s="30">
        <f t="shared" si="35"/>
        <v>0.93914377870465027</v>
      </c>
    </row>
    <row r="41" spans="1:36" x14ac:dyDescent="0.25">
      <c r="B41" s="30" t="s">
        <v>896</v>
      </c>
      <c r="C41" s="30">
        <v>6</v>
      </c>
      <c r="D41" s="30">
        <v>-59.24</v>
      </c>
      <c r="E41">
        <v>0.20465593039989499</v>
      </c>
      <c r="F41">
        <v>0.89802211523055997</v>
      </c>
      <c r="G41">
        <v>3.5709707736968901</v>
      </c>
      <c r="H41">
        <v>11.7986946105957</v>
      </c>
      <c r="I41">
        <v>0.92918926477432295</v>
      </c>
      <c r="J41">
        <v>5.6979064941406197</v>
      </c>
      <c r="K41" s="30">
        <f t="shared" si="24"/>
        <v>14.034939997632911</v>
      </c>
      <c r="L41" s="30">
        <f t="shared" si="25"/>
        <v>68.578222826032075</v>
      </c>
      <c r="P41">
        <v>11.7986946105957</v>
      </c>
      <c r="Q41">
        <v>11.176982879638601</v>
      </c>
      <c r="R41">
        <v>12.8741035461425</v>
      </c>
      <c r="S41">
        <v>13.091503143310501</v>
      </c>
      <c r="T41">
        <v>13.778297424316399</v>
      </c>
      <c r="U41">
        <v>12.557899475097599</v>
      </c>
      <c r="V41">
        <v>12.2712440490722</v>
      </c>
      <c r="W41">
        <v>12.479850769042899</v>
      </c>
      <c r="X41">
        <v>12.0951423645019</v>
      </c>
      <c r="Y41">
        <v>11.5793304443359</v>
      </c>
      <c r="AA41" s="30">
        <f t="shared" si="26"/>
        <v>1</v>
      </c>
      <c r="AB41" s="30">
        <f t="shared" si="27"/>
        <v>0.94730673591646508</v>
      </c>
      <c r="AC41" s="30">
        <f t="shared" si="28"/>
        <v>1.0911464336555536</v>
      </c>
      <c r="AD41" s="30">
        <f t="shared" si="29"/>
        <v>1.1095721667000185</v>
      </c>
      <c r="AE41" s="30">
        <f t="shared" si="30"/>
        <v>1.167781511349818</v>
      </c>
      <c r="AF41" s="30">
        <f t="shared" si="31"/>
        <v>1.0643465137083983</v>
      </c>
      <c r="AG41" s="30">
        <f t="shared" si="32"/>
        <v>1.0400509932727755</v>
      </c>
      <c r="AH41" s="30">
        <f t="shared" si="33"/>
        <v>1.0577314847894694</v>
      </c>
      <c r="AI41" s="30">
        <f t="shared" si="34"/>
        <v>1.0251254705448498</v>
      </c>
      <c r="AJ41" s="30">
        <f t="shared" si="35"/>
        <v>0.98140775962937443</v>
      </c>
    </row>
    <row r="42" spans="1:36" x14ac:dyDescent="0.25">
      <c r="B42" s="30"/>
      <c r="C42" s="30"/>
      <c r="D42" s="30"/>
      <c r="K42" s="30"/>
      <c r="L42" s="30"/>
      <c r="AA42" s="30" t="e">
        <f t="shared" si="26"/>
        <v>#DIV/0!</v>
      </c>
      <c r="AB42" s="30" t="e">
        <f t="shared" si="27"/>
        <v>#DIV/0!</v>
      </c>
      <c r="AC42" s="30" t="e">
        <f t="shared" si="28"/>
        <v>#DIV/0!</v>
      </c>
      <c r="AD42" s="30" t="e">
        <f t="shared" si="29"/>
        <v>#DIV/0!</v>
      </c>
      <c r="AE42" s="30" t="e">
        <f t="shared" si="30"/>
        <v>#DIV/0!</v>
      </c>
      <c r="AF42" s="30" t="e">
        <f t="shared" si="31"/>
        <v>#DIV/0!</v>
      </c>
      <c r="AG42" s="30" t="e">
        <f t="shared" si="32"/>
        <v>#DIV/0!</v>
      </c>
      <c r="AH42" s="30" t="e">
        <f t="shared" si="33"/>
        <v>#DIV/0!</v>
      </c>
      <c r="AI42" s="30" t="e">
        <f t="shared" si="34"/>
        <v>#DIV/0!</v>
      </c>
      <c r="AJ42" s="30" t="e">
        <f t="shared" si="35"/>
        <v>#DIV/0!</v>
      </c>
    </row>
    <row r="45" spans="1:36" x14ac:dyDescent="0.25">
      <c r="C45" t="s">
        <v>886</v>
      </c>
      <c r="E45">
        <f>AVERAGE(E4:E21)</f>
        <v>0.33316961111111115</v>
      </c>
      <c r="K45">
        <f>AVERAGE(K4:K21)</f>
        <v>24.472374591482403</v>
      </c>
      <c r="L45">
        <f>AVERAGE(L4:L21)</f>
        <v>76.826512906805945</v>
      </c>
    </row>
    <row r="47" spans="1:36" x14ac:dyDescent="0.25">
      <c r="E47">
        <f>AVERAGE(E23:E34)</f>
        <v>0.23650054509441057</v>
      </c>
      <c r="K47">
        <f>AVERAGE(K23:K34)</f>
        <v>15.088159671982737</v>
      </c>
      <c r="L47">
        <f>AVERAGE(L23:L34)</f>
        <v>66.699953824070164</v>
      </c>
    </row>
    <row r="49" spans="5:12" x14ac:dyDescent="0.25">
      <c r="E49">
        <f>AVERAGE(E36:E41)</f>
        <v>0.19017626096804932</v>
      </c>
      <c r="K49">
        <f>AVERAGE(K36:K41)</f>
        <v>15.071122818963971</v>
      </c>
      <c r="L49">
        <f>AVERAGE(L36:L41)</f>
        <v>77.943619782260257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8F272-5A57-40AA-8D3E-696C6664C7F8}">
  <dimension ref="A2:N27"/>
  <sheetViews>
    <sheetView workbookViewId="0">
      <selection activeCell="K4" sqref="K4:K23"/>
    </sheetView>
  </sheetViews>
  <sheetFormatPr defaultRowHeight="15" x14ac:dyDescent="0.25"/>
  <cols>
    <col min="1" max="1" width="9.7109375" bestFit="1" customWidth="1"/>
  </cols>
  <sheetData>
    <row r="2" spans="1:14" x14ac:dyDescent="0.25">
      <c r="A2" s="4" t="s">
        <v>2</v>
      </c>
      <c r="B2" s="5"/>
    </row>
    <row r="3" spans="1:14" ht="45" x14ac:dyDescent="0.25">
      <c r="A3" s="7" t="s">
        <v>3</v>
      </c>
      <c r="B3" s="8" t="s">
        <v>4</v>
      </c>
      <c r="C3" s="7" t="s">
        <v>5</v>
      </c>
      <c r="D3" s="7" t="s">
        <v>6</v>
      </c>
      <c r="E3" t="s">
        <v>36</v>
      </c>
      <c r="F3" t="s">
        <v>553</v>
      </c>
      <c r="G3" s="7" t="s">
        <v>7</v>
      </c>
      <c r="H3" s="7" t="s">
        <v>8</v>
      </c>
      <c r="I3" t="s">
        <v>36</v>
      </c>
      <c r="J3" t="s">
        <v>553</v>
      </c>
      <c r="K3" s="7" t="s">
        <v>9</v>
      </c>
      <c r="L3" s="7" t="s">
        <v>10</v>
      </c>
      <c r="M3" s="7"/>
      <c r="N3" s="7"/>
    </row>
    <row r="4" spans="1:14" x14ac:dyDescent="0.25">
      <c r="A4" s="9">
        <v>42760</v>
      </c>
      <c r="B4" t="s">
        <v>37</v>
      </c>
      <c r="C4">
        <v>1</v>
      </c>
      <c r="D4">
        <v>-76</v>
      </c>
      <c r="G4">
        <v>0.30947200000000002</v>
      </c>
      <c r="H4">
        <v>20.879300000000001</v>
      </c>
      <c r="K4">
        <f>H4/(1-(0.8*(H4/(ABS(D4)))))</f>
        <v>26.760857628165951</v>
      </c>
      <c r="L4">
        <f>K4/G4</f>
        <v>86.472629601921824</v>
      </c>
    </row>
    <row r="5" spans="1:14" x14ac:dyDescent="0.25">
      <c r="B5" t="s">
        <v>38</v>
      </c>
      <c r="C5">
        <v>2</v>
      </c>
      <c r="D5">
        <v>-67</v>
      </c>
      <c r="G5">
        <v>0.24918699999999999</v>
      </c>
      <c r="H5">
        <v>22.485600000000002</v>
      </c>
      <c r="K5">
        <f>H5/(1-(0.8*(H5/(ABS(D5)))))</f>
        <v>30.738389668388169</v>
      </c>
      <c r="L5">
        <f>K5/G5</f>
        <v>123.35470818456891</v>
      </c>
    </row>
    <row r="6" spans="1:14" x14ac:dyDescent="0.25">
      <c r="B6" t="s">
        <v>39</v>
      </c>
      <c r="C6">
        <v>3</v>
      </c>
      <c r="D6">
        <v>-66.3</v>
      </c>
      <c r="G6">
        <v>0.401557</v>
      </c>
      <c r="H6">
        <v>21.6</v>
      </c>
      <c r="K6">
        <f>H6/(1-(0.8*(H6/(ABS(D6)))))</f>
        <v>29.214198286413708</v>
      </c>
      <c r="L6">
        <f>K6/G6</f>
        <v>72.752307359636887</v>
      </c>
    </row>
    <row r="7" spans="1:14" x14ac:dyDescent="0.25">
      <c r="B7" t="s">
        <v>40</v>
      </c>
      <c r="C7">
        <v>4</v>
      </c>
      <c r="D7">
        <v>-74</v>
      </c>
      <c r="G7">
        <v>0.22003500000000001</v>
      </c>
      <c r="H7">
        <v>13.5467</v>
      </c>
      <c r="K7">
        <f t="shared" ref="K7:K23" si="0">H7/(1-(0.8*(H7/(ABS(D7)))))</f>
        <v>15.87102439036747</v>
      </c>
      <c r="L7">
        <f t="shared" ref="L7:L23" si="1">K7/G7</f>
        <v>72.129544801361007</v>
      </c>
    </row>
    <row r="8" spans="1:14" x14ac:dyDescent="0.25">
      <c r="B8" t="s">
        <v>41</v>
      </c>
      <c r="C8">
        <v>5</v>
      </c>
      <c r="D8">
        <v>-71.8</v>
      </c>
      <c r="G8">
        <v>0.212252</v>
      </c>
      <c r="H8">
        <v>15.0175</v>
      </c>
      <c r="K8">
        <f t="shared" si="0"/>
        <v>18.03526745391898</v>
      </c>
      <c r="L8">
        <f t="shared" si="1"/>
        <v>84.97101301245209</v>
      </c>
    </row>
    <row r="9" spans="1:14" x14ac:dyDescent="0.25">
      <c r="B9" t="s">
        <v>42</v>
      </c>
      <c r="C9">
        <v>6</v>
      </c>
      <c r="D9">
        <v>-55</v>
      </c>
      <c r="G9">
        <v>0.44318800000000003</v>
      </c>
      <c r="H9">
        <v>18.193899999999999</v>
      </c>
      <c r="K9">
        <f t="shared" si="0"/>
        <v>24.741438224071871</v>
      </c>
      <c r="L9">
        <f t="shared" si="1"/>
        <v>55.826056265223492</v>
      </c>
    </row>
    <row r="10" spans="1:14" x14ac:dyDescent="0.25">
      <c r="B10" t="s">
        <v>43</v>
      </c>
      <c r="C10">
        <v>7</v>
      </c>
      <c r="D10">
        <v>-80</v>
      </c>
      <c r="G10">
        <v>0.24283199999999999</v>
      </c>
      <c r="H10">
        <v>14.0977</v>
      </c>
      <c r="K10">
        <f t="shared" si="0"/>
        <v>16.411318439669252</v>
      </c>
      <c r="L10">
        <f t="shared" si="1"/>
        <v>67.583013934198348</v>
      </c>
    </row>
    <row r="11" spans="1:14" x14ac:dyDescent="0.25">
      <c r="B11" t="s">
        <v>44</v>
      </c>
      <c r="C11">
        <v>8</v>
      </c>
      <c r="D11">
        <v>-75.2</v>
      </c>
      <c r="G11">
        <v>0.23355999999999999</v>
      </c>
      <c r="H11">
        <v>12.169700000000001</v>
      </c>
      <c r="K11">
        <f t="shared" si="0"/>
        <v>13.979562582564162</v>
      </c>
      <c r="L11">
        <f t="shared" si="1"/>
        <v>59.854266923121095</v>
      </c>
    </row>
    <row r="12" spans="1:14" x14ac:dyDescent="0.25">
      <c r="B12" t="s">
        <v>45</v>
      </c>
      <c r="C12">
        <v>11</v>
      </c>
      <c r="D12">
        <v>-66.8</v>
      </c>
      <c r="G12">
        <v>0.23416000000000001</v>
      </c>
      <c r="H12">
        <v>15.7362</v>
      </c>
      <c r="K12">
        <f t="shared" si="0"/>
        <v>19.390481348448581</v>
      </c>
      <c r="L12" s="10">
        <f t="shared" si="1"/>
        <v>82.808683585789979</v>
      </c>
    </row>
    <row r="13" spans="1:14" x14ac:dyDescent="0.25">
      <c r="B13" t="s">
        <v>46</v>
      </c>
      <c r="C13">
        <v>12</v>
      </c>
      <c r="D13">
        <v>-68.7</v>
      </c>
      <c r="G13">
        <v>0.33332899999999999</v>
      </c>
      <c r="H13">
        <v>17.679200000000002</v>
      </c>
      <c r="K13">
        <f t="shared" si="0"/>
        <v>22.262387126479933</v>
      </c>
      <c r="L13">
        <f t="shared" si="1"/>
        <v>66.788029623824912</v>
      </c>
    </row>
    <row r="14" spans="1:14" x14ac:dyDescent="0.25">
      <c r="B14" t="s">
        <v>47</v>
      </c>
      <c r="C14">
        <v>14</v>
      </c>
      <c r="D14">
        <v>-67.7</v>
      </c>
      <c r="G14">
        <v>0.26291999999999999</v>
      </c>
      <c r="H14">
        <v>14.629</v>
      </c>
      <c r="K14">
        <f t="shared" si="0"/>
        <v>17.686426724384248</v>
      </c>
      <c r="L14">
        <f t="shared" si="1"/>
        <v>67.269232939237213</v>
      </c>
    </row>
    <row r="15" spans="1:14" s="11" customFormat="1" ht="20.25" thickBot="1" x14ac:dyDescent="0.35"/>
    <row r="16" spans="1:14" ht="15.75" thickTop="1" x14ac:dyDescent="0.25">
      <c r="A16" s="9">
        <v>42765</v>
      </c>
      <c r="B16" t="s">
        <v>48</v>
      </c>
      <c r="C16">
        <v>1</v>
      </c>
      <c r="D16">
        <v>-57.9</v>
      </c>
      <c r="G16">
        <v>0.396119</v>
      </c>
      <c r="H16">
        <v>25.229099999999999</v>
      </c>
      <c r="K16">
        <f t="shared" si="0"/>
        <v>38.729902547199224</v>
      </c>
      <c r="L16">
        <f t="shared" si="1"/>
        <v>97.77340280874995</v>
      </c>
    </row>
    <row r="17" spans="2:12" x14ac:dyDescent="0.25">
      <c r="B17" t="s">
        <v>49</v>
      </c>
      <c r="C17">
        <v>3</v>
      </c>
      <c r="D17">
        <v>-55.8</v>
      </c>
      <c r="G17">
        <v>0.185164</v>
      </c>
      <c r="H17">
        <v>10.616</v>
      </c>
      <c r="K17">
        <f t="shared" si="0"/>
        <v>12.52183177190787</v>
      </c>
      <c r="L17">
        <f t="shared" si="1"/>
        <v>67.625627940138855</v>
      </c>
    </row>
    <row r="18" spans="2:12" x14ac:dyDescent="0.25">
      <c r="B18" t="s">
        <v>50</v>
      </c>
      <c r="C18">
        <v>4</v>
      </c>
      <c r="D18">
        <v>-59.3</v>
      </c>
      <c r="G18">
        <v>0.19068299999999999</v>
      </c>
      <c r="H18">
        <v>15.8424</v>
      </c>
      <c r="K18">
        <f t="shared" si="0"/>
        <v>20.148687601445374</v>
      </c>
      <c r="L18">
        <f t="shared" si="1"/>
        <v>105.66588317493104</v>
      </c>
    </row>
    <row r="19" spans="2:12" x14ac:dyDescent="0.25">
      <c r="B19" t="s">
        <v>51</v>
      </c>
      <c r="C19">
        <v>5</v>
      </c>
      <c r="D19">
        <v>-56.5</v>
      </c>
      <c r="G19">
        <v>0.14094599999999999</v>
      </c>
      <c r="H19">
        <v>11.4893</v>
      </c>
      <c r="K19">
        <f t="shared" si="0"/>
        <v>13.721522067042415</v>
      </c>
      <c r="L19">
        <f t="shared" si="1"/>
        <v>97.353043485039777</v>
      </c>
    </row>
    <row r="20" spans="2:12" x14ac:dyDescent="0.25">
      <c r="B20" t="s">
        <v>52</v>
      </c>
      <c r="C20">
        <v>6</v>
      </c>
      <c r="D20">
        <v>-60.7</v>
      </c>
      <c r="G20">
        <v>0.356987</v>
      </c>
      <c r="H20">
        <v>20.875900000000001</v>
      </c>
      <c r="K20">
        <f t="shared" si="0"/>
        <v>28.799724222760009</v>
      </c>
      <c r="L20">
        <f t="shared" si="1"/>
        <v>80.674434146789679</v>
      </c>
    </row>
    <row r="21" spans="2:12" x14ac:dyDescent="0.25">
      <c r="B21" t="s">
        <v>53</v>
      </c>
      <c r="C21">
        <v>7</v>
      </c>
      <c r="D21">
        <v>-67.7</v>
      </c>
      <c r="G21">
        <v>0.42864799999999997</v>
      </c>
      <c r="H21">
        <v>20.205100000000002</v>
      </c>
      <c r="K21">
        <f t="shared" si="0"/>
        <v>26.542366372813373</v>
      </c>
      <c r="L21">
        <f t="shared" si="1"/>
        <v>61.921124962237954</v>
      </c>
    </row>
    <row r="22" spans="2:12" x14ac:dyDescent="0.25">
      <c r="B22" t="s">
        <v>54</v>
      </c>
      <c r="C22">
        <v>9</v>
      </c>
      <c r="D22">
        <v>-64.5</v>
      </c>
      <c r="G22">
        <v>0.26717000000000002</v>
      </c>
      <c r="H22">
        <v>18.471800000000002</v>
      </c>
      <c r="K22">
        <f t="shared" si="0"/>
        <v>23.961580015188282</v>
      </c>
      <c r="L22">
        <f t="shared" si="1"/>
        <v>89.686641521085008</v>
      </c>
    </row>
    <row r="23" spans="2:12" x14ac:dyDescent="0.25">
      <c r="B23" t="s">
        <v>55</v>
      </c>
      <c r="C23">
        <v>10</v>
      </c>
      <c r="D23">
        <v>-62.3</v>
      </c>
      <c r="G23">
        <v>0.27387299999999998</v>
      </c>
      <c r="H23">
        <v>21.502400000000002</v>
      </c>
      <c r="K23">
        <f t="shared" si="0"/>
        <v>29.704136406694037</v>
      </c>
      <c r="L23">
        <f t="shared" si="1"/>
        <v>108.45952834596342</v>
      </c>
    </row>
    <row r="25" spans="2:12" x14ac:dyDescent="0.25">
      <c r="G25">
        <f>AVERAGE(G4:G14)</f>
        <v>0.28568109090909094</v>
      </c>
      <c r="K25">
        <f>AVERAGE(K4:K14)</f>
        <v>21.37194107935203</v>
      </c>
      <c r="L25">
        <f>AVERAGE(L4:L14)</f>
        <v>76.346316930121446</v>
      </c>
    </row>
    <row r="27" spans="2:12" x14ac:dyDescent="0.25">
      <c r="G27">
        <f>AVERAGE(G16:G23)</f>
        <v>0.27994874999999997</v>
      </c>
      <c r="K27">
        <f>AVERAGE(K16:K23)</f>
        <v>24.266218875631321</v>
      </c>
      <c r="L27">
        <f>AVERAGE(L16:L23)</f>
        <v>88.644960798116969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577D-CAC1-4449-93B7-45494237F9D9}">
  <dimension ref="A1:AJ51"/>
  <sheetViews>
    <sheetView topLeftCell="H15" workbookViewId="0">
      <selection activeCell="AC3" sqref="AC3:AC44"/>
    </sheetView>
  </sheetViews>
  <sheetFormatPr defaultRowHeight="15" x14ac:dyDescent="0.25"/>
  <cols>
    <col min="5" max="5" width="12" bestFit="1" customWidth="1"/>
    <col min="11" max="11" width="19.85546875" bestFit="1" customWidth="1"/>
    <col min="12" max="12" width="12" bestFit="1" customWidth="1"/>
    <col min="15" max="15" width="11.7109375" customWidth="1"/>
  </cols>
  <sheetData>
    <row r="1" spans="1:36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36</v>
      </c>
      <c r="G1" t="s">
        <v>553</v>
      </c>
      <c r="H1" t="s">
        <v>8</v>
      </c>
      <c r="I1" t="s">
        <v>36</v>
      </c>
      <c r="J1" t="s">
        <v>553</v>
      </c>
      <c r="K1" t="s">
        <v>9</v>
      </c>
      <c r="L1" t="s">
        <v>10</v>
      </c>
      <c r="M1" t="s">
        <v>79</v>
      </c>
      <c r="N1" t="s">
        <v>110</v>
      </c>
      <c r="P1" t="s">
        <v>470</v>
      </c>
      <c r="AA1" t="s">
        <v>471</v>
      </c>
    </row>
    <row r="2" spans="1:36" x14ac:dyDescent="0.25">
      <c r="A2" s="9">
        <v>44596</v>
      </c>
      <c r="P2" t="s">
        <v>395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AA2" t="s">
        <v>395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</row>
    <row r="3" spans="1:36" x14ac:dyDescent="0.25">
      <c r="A3" s="30"/>
      <c r="B3" s="30" t="s">
        <v>782</v>
      </c>
      <c r="C3" s="30">
        <v>1</v>
      </c>
      <c r="D3" s="30">
        <v>-51.99</v>
      </c>
      <c r="E3" s="30">
        <v>0.20241095125675199</v>
      </c>
      <c r="F3" s="30">
        <v>0.982990682125092</v>
      </c>
      <c r="G3" s="30">
        <v>4.2418103218078604</v>
      </c>
      <c r="H3" s="30">
        <v>17.518932342529201</v>
      </c>
      <c r="I3" s="30">
        <v>1.12066650390625</v>
      </c>
      <c r="J3" s="30">
        <v>4.9064755439758301</v>
      </c>
      <c r="K3" s="30">
        <f t="shared" ref="K3:K17" si="0">H3/(1-(0.8*(H3/(ABS(D3)))))</f>
        <v>23.984536964028926</v>
      </c>
      <c r="L3" s="30">
        <f t="shared" ref="L3:L17" si="1">K3/E3</f>
        <v>118.49426533056153</v>
      </c>
      <c r="M3" s="30"/>
      <c r="N3" s="30"/>
      <c r="O3" s="30"/>
      <c r="P3" s="30">
        <v>15.7271728515625</v>
      </c>
      <c r="Q3" s="30">
        <v>17.181724548339801</v>
      </c>
      <c r="R3" s="30">
        <v>17.651371002197202</v>
      </c>
      <c r="S3" s="30">
        <v>16.7103462219238</v>
      </c>
      <c r="T3" s="30">
        <v>15.7322273254394</v>
      </c>
      <c r="U3" s="30">
        <v>16.248943328857401</v>
      </c>
      <c r="V3" s="30">
        <v>15.2829627990722</v>
      </c>
      <c r="W3" s="30">
        <v>14.7519569396972</v>
      </c>
      <c r="X3" s="30">
        <v>14.1144142150878</v>
      </c>
      <c r="Y3" s="30">
        <v>14.268310546875</v>
      </c>
      <c r="Z3" s="30"/>
      <c r="AA3" s="30">
        <f>P3/P3</f>
        <v>1</v>
      </c>
      <c r="AB3" s="30">
        <f>Q3/P3</f>
        <v>1.0924865333716218</v>
      </c>
      <c r="AC3" s="30">
        <f>R3/P3</f>
        <v>1.1223486362613184</v>
      </c>
      <c r="AD3" s="30">
        <f>S3/P3</f>
        <v>1.0625143107181925</v>
      </c>
      <c r="AE3" s="30">
        <f>T3/P3</f>
        <v>1.0003213847730044</v>
      </c>
      <c r="AF3" s="30">
        <f>U3/P3</f>
        <v>1.0331763682016799</v>
      </c>
      <c r="AG3" s="30">
        <f>V3/P3</f>
        <v>0.97175525082080039</v>
      </c>
      <c r="AH3" s="30">
        <f>W3/P3</f>
        <v>0.93799165806406126</v>
      </c>
      <c r="AI3" s="30">
        <f>X3/P3</f>
        <v>0.89745400195595415</v>
      </c>
      <c r="AJ3" s="30">
        <f>Y3/P3</f>
        <v>0.90723937999177251</v>
      </c>
    </row>
    <row r="4" spans="1:36" x14ac:dyDescent="0.25">
      <c r="A4" s="30"/>
      <c r="B4" s="30" t="s">
        <v>783</v>
      </c>
      <c r="C4" s="30">
        <v>2</v>
      </c>
      <c r="D4" s="30">
        <v>-67.86</v>
      </c>
      <c r="E4" s="30">
        <v>0.23580844700336501</v>
      </c>
      <c r="F4" s="30">
        <v>1.2275702953338601</v>
      </c>
      <c r="G4" s="30">
        <v>4.1803312301635698</v>
      </c>
      <c r="H4" s="30">
        <v>19.7933349609375</v>
      </c>
      <c r="I4" s="30">
        <v>1.10311126708984</v>
      </c>
      <c r="J4" s="30">
        <v>5.1921572685241699</v>
      </c>
      <c r="K4" s="30">
        <f t="shared" si="0"/>
        <v>25.8177249045218</v>
      </c>
      <c r="L4" s="30">
        <f t="shared" si="1"/>
        <v>109.4860054107959</v>
      </c>
      <c r="M4" s="30"/>
      <c r="N4" s="30"/>
      <c r="O4" s="30"/>
      <c r="P4" s="30">
        <v>19.3186950683593</v>
      </c>
      <c r="Q4" s="30">
        <v>20.553958892822202</v>
      </c>
      <c r="R4" s="30">
        <v>20.751907348632798</v>
      </c>
      <c r="S4" s="30">
        <v>20.331203460693299</v>
      </c>
      <c r="T4" s="30">
        <v>19.827285766601499</v>
      </c>
      <c r="U4" s="30">
        <v>18.740413665771399</v>
      </c>
      <c r="V4" s="30">
        <v>17.847362518310501</v>
      </c>
      <c r="W4" s="30">
        <v>17.468364715576101</v>
      </c>
      <c r="X4" s="30">
        <v>17.396938323974599</v>
      </c>
      <c r="Y4" s="30">
        <v>16.8325881958007</v>
      </c>
      <c r="Z4" s="30"/>
      <c r="AA4" s="30">
        <f t="shared" ref="AA4:AA17" si="2">P4/P4</f>
        <v>1</v>
      </c>
      <c r="AB4" s="30">
        <f t="shared" ref="AB4:AB17" si="3">Q4/P4</f>
        <v>1.0639413697504885</v>
      </c>
      <c r="AC4" s="30">
        <f t="shared" ref="AC4:AC17" si="4">R4/P4</f>
        <v>1.0741878411146337</v>
      </c>
      <c r="AD4" s="30">
        <f t="shared" ref="AD4:AD17" si="5">S4/P4</f>
        <v>1.0524108066694584</v>
      </c>
      <c r="AE4" s="30">
        <f t="shared" ref="AE4:AE17" si="6">T4/P4</f>
        <v>1.0263263484641456</v>
      </c>
      <c r="AF4" s="30">
        <f t="shared" ref="AF4:AF17" si="7">U4/P4</f>
        <v>0.97006622856556046</v>
      </c>
      <c r="AG4" s="30">
        <f t="shared" ref="AG4:AG17" si="8">V4/P4</f>
        <v>0.92383892675760537</v>
      </c>
      <c r="AH4" s="30">
        <f t="shared" ref="AH4:AH17" si="9">W4/P4</f>
        <v>0.90422073818983129</v>
      </c>
      <c r="AI4" s="30">
        <f t="shared" ref="AI4:AI17" si="10">X4/P4</f>
        <v>0.9005234702662599</v>
      </c>
      <c r="AJ4" s="30">
        <f t="shared" ref="AJ4:AJ17" si="11">Y4/P4</f>
        <v>0.87131082799529169</v>
      </c>
    </row>
    <row r="5" spans="1:36" x14ac:dyDescent="0.25">
      <c r="A5" s="30"/>
      <c r="B5" s="30" t="s">
        <v>784</v>
      </c>
      <c r="C5" s="30">
        <v>3</v>
      </c>
      <c r="D5" s="30">
        <v>-59.71</v>
      </c>
      <c r="E5" s="30">
        <v>0.23244531452655801</v>
      </c>
      <c r="F5" s="30">
        <v>1.0132532119750901</v>
      </c>
      <c r="G5" s="30">
        <v>4.8624539375305096</v>
      </c>
      <c r="H5" s="30">
        <v>16.91845703125</v>
      </c>
      <c r="I5" s="30">
        <v>1.1356511116027801</v>
      </c>
      <c r="J5" s="30">
        <v>5.6022038459777797</v>
      </c>
      <c r="K5" s="30">
        <f t="shared" si="0"/>
        <v>21.877551527553834</v>
      </c>
      <c r="L5" s="30">
        <f t="shared" si="1"/>
        <v>94.119133234041669</v>
      </c>
      <c r="M5" s="30"/>
      <c r="N5" s="30"/>
      <c r="O5" s="30"/>
      <c r="P5" s="30">
        <v>17.078304290771399</v>
      </c>
      <c r="Q5" s="30">
        <v>17.61669921875</v>
      </c>
      <c r="R5" s="30">
        <v>18.080806732177699</v>
      </c>
      <c r="S5" s="30">
        <v>17.720603942871001</v>
      </c>
      <c r="T5" s="30">
        <v>17.156986236572202</v>
      </c>
      <c r="U5" s="30">
        <v>17.0046691894531</v>
      </c>
      <c r="V5" s="30">
        <v>16.907321929931602</v>
      </c>
      <c r="W5" s="30">
        <v>16.3519973754882</v>
      </c>
      <c r="X5" s="30">
        <v>15.8659400939941</v>
      </c>
      <c r="Y5" s="30">
        <v>14.619667053222599</v>
      </c>
      <c r="Z5" s="30"/>
      <c r="AA5" s="30">
        <f t="shared" si="2"/>
        <v>1</v>
      </c>
      <c r="AB5" s="30">
        <f t="shared" si="3"/>
        <v>1.0315250811094596</v>
      </c>
      <c r="AC5" s="30">
        <f t="shared" si="4"/>
        <v>1.0587003501248085</v>
      </c>
      <c r="AD5" s="30">
        <f t="shared" si="5"/>
        <v>1.0376090998944598</v>
      </c>
      <c r="AE5" s="30">
        <f t="shared" si="6"/>
        <v>1.0046071286973919</v>
      </c>
      <c r="AF5" s="30">
        <f t="shared" si="7"/>
        <v>0.99568838333920018</v>
      </c>
      <c r="AG5" s="30">
        <f t="shared" si="8"/>
        <v>0.98998832917316082</v>
      </c>
      <c r="AH5" s="30">
        <f t="shared" si="9"/>
        <v>0.95747195371874982</v>
      </c>
      <c r="AI5" s="30">
        <f t="shared" si="10"/>
        <v>0.92901144187760931</v>
      </c>
      <c r="AJ5" s="30">
        <f t="shared" si="11"/>
        <v>0.8560373913189161</v>
      </c>
    </row>
    <row r="6" spans="1:36" x14ac:dyDescent="0.25">
      <c r="A6" s="31"/>
      <c r="B6" s="31" t="s">
        <v>785</v>
      </c>
      <c r="C6" s="31">
        <v>4</v>
      </c>
      <c r="D6" s="31">
        <v>-68.790000000000006</v>
      </c>
      <c r="E6" s="31">
        <v>0.25433006882667503</v>
      </c>
      <c r="F6" s="31">
        <v>1.2161350250244101</v>
      </c>
      <c r="G6" s="31">
        <v>4.5659289360046298</v>
      </c>
      <c r="H6" s="31">
        <v>17.713542938232401</v>
      </c>
      <c r="I6" s="31">
        <v>1.1628386974334699</v>
      </c>
      <c r="J6" s="31">
        <v>5.4846825599670401</v>
      </c>
      <c r="K6" s="31">
        <f t="shared" si="0"/>
        <v>22.309286570621172</v>
      </c>
      <c r="L6" s="31">
        <f t="shared" si="1"/>
        <v>87.717848988689042</v>
      </c>
      <c r="M6" s="31" t="s">
        <v>786</v>
      </c>
      <c r="N6" s="31"/>
      <c r="O6" s="31"/>
      <c r="P6" s="31">
        <v>17.2346687316894</v>
      </c>
      <c r="Q6" s="31">
        <v>18.935855865478501</v>
      </c>
      <c r="R6" s="31">
        <v>20.053539276123001</v>
      </c>
      <c r="S6" s="31">
        <v>19.5722541809082</v>
      </c>
      <c r="T6" s="31">
        <v>19.5366096496582</v>
      </c>
      <c r="U6" s="31">
        <v>18.5508728027343</v>
      </c>
      <c r="V6" s="31">
        <v>17.327129364013601</v>
      </c>
      <c r="W6" s="31">
        <v>17.8304443359375</v>
      </c>
      <c r="X6" s="31">
        <v>17.050670623779201</v>
      </c>
      <c r="Y6" s="31">
        <v>16.043434143066399</v>
      </c>
      <c r="Z6" s="31"/>
      <c r="AA6" s="31">
        <f t="shared" si="2"/>
        <v>1</v>
      </c>
      <c r="AB6" s="31">
        <f t="shared" si="3"/>
        <v>1.0987072719686877</v>
      </c>
      <c r="AC6" s="31">
        <f t="shared" si="4"/>
        <v>1.1635581506275512</v>
      </c>
      <c r="AD6" s="31">
        <f t="shared" si="5"/>
        <v>1.1356327461589488</v>
      </c>
      <c r="AE6" s="31">
        <f t="shared" si="6"/>
        <v>1.1335645583797163</v>
      </c>
      <c r="AF6" s="31">
        <f t="shared" si="7"/>
        <v>1.076369560189155</v>
      </c>
      <c r="AG6" s="31">
        <f t="shared" si="8"/>
        <v>1.005364804729562</v>
      </c>
      <c r="AH6" s="31">
        <f t="shared" si="9"/>
        <v>1.034568439551881</v>
      </c>
      <c r="AI6" s="31">
        <f t="shared" si="10"/>
        <v>0.98932395447950316</v>
      </c>
      <c r="AJ6" s="31">
        <f t="shared" si="11"/>
        <v>0.93088149199916581</v>
      </c>
    </row>
    <row r="7" spans="1:36" x14ac:dyDescent="0.25">
      <c r="A7" s="30"/>
      <c r="B7" s="30" t="s">
        <v>787</v>
      </c>
      <c r="C7" s="30">
        <v>5</v>
      </c>
      <c r="D7" s="30">
        <v>-73.81</v>
      </c>
      <c r="E7" s="30">
        <v>0.19977740943431899</v>
      </c>
      <c r="F7" s="30">
        <v>1.3232001066207799</v>
      </c>
      <c r="G7" s="30">
        <v>4.6383614540100098</v>
      </c>
      <c r="H7" s="30">
        <v>11.993324279785099</v>
      </c>
      <c r="I7" s="30">
        <v>1.13566935062408</v>
      </c>
      <c r="J7" s="30">
        <v>5.9408822059631303</v>
      </c>
      <c r="K7" s="30">
        <f t="shared" si="0"/>
        <v>13.785292690940196</v>
      </c>
      <c r="L7" s="30">
        <f t="shared" si="1"/>
        <v>69.003260829009804</v>
      </c>
      <c r="M7" s="30"/>
      <c r="N7" s="30"/>
      <c r="O7" s="30"/>
      <c r="P7" s="30">
        <v>12.057334899902299</v>
      </c>
      <c r="Q7" s="30">
        <v>14.263607025146401</v>
      </c>
      <c r="R7" s="30">
        <v>14.0770568847656</v>
      </c>
      <c r="S7" s="30">
        <v>14.850521087646401</v>
      </c>
      <c r="T7" s="30">
        <v>14.9341468811035</v>
      </c>
      <c r="U7" s="30">
        <v>14.4573822021484</v>
      </c>
      <c r="V7" s="30">
        <v>13.7955322265625</v>
      </c>
      <c r="W7" s="30">
        <v>13.3132553100585</v>
      </c>
      <c r="X7" s="30">
        <v>13.176307678222599</v>
      </c>
      <c r="Y7" s="30">
        <v>13.334621429443301</v>
      </c>
      <c r="Z7" s="30"/>
      <c r="AA7" s="30">
        <f t="shared" si="2"/>
        <v>1</v>
      </c>
      <c r="AB7" s="30">
        <f t="shared" si="3"/>
        <v>1.182981740455926</v>
      </c>
      <c r="AC7" s="30">
        <f t="shared" si="4"/>
        <v>1.1675098188472535</v>
      </c>
      <c r="AD7" s="30">
        <f t="shared" si="5"/>
        <v>1.2316586717489895</v>
      </c>
      <c r="AE7" s="30">
        <f t="shared" si="6"/>
        <v>1.2385943498363399</v>
      </c>
      <c r="AF7" s="30">
        <f t="shared" si="7"/>
        <v>1.1990528854154618</v>
      </c>
      <c r="AG7" s="30">
        <f t="shared" si="8"/>
        <v>1.1441609892310685</v>
      </c>
      <c r="AH7" s="30">
        <f t="shared" si="9"/>
        <v>1.1041623559918186</v>
      </c>
      <c r="AI7" s="30">
        <f t="shared" si="10"/>
        <v>1.0928043209888254</v>
      </c>
      <c r="AJ7" s="30">
        <f t="shared" si="11"/>
        <v>1.1059343992801718</v>
      </c>
    </row>
    <row r="8" spans="1:36" x14ac:dyDescent="0.25">
      <c r="A8" s="32"/>
      <c r="B8" s="32" t="s">
        <v>788</v>
      </c>
      <c r="C8" s="32">
        <v>6</v>
      </c>
      <c r="D8" s="32">
        <v>-72.650000000000006</v>
      </c>
      <c r="E8" s="32">
        <v>0.29204928874969499</v>
      </c>
      <c r="F8" s="32">
        <v>1.5960738658905</v>
      </c>
      <c r="G8" s="32">
        <v>7.8924226760864196</v>
      </c>
      <c r="H8" s="32">
        <v>15.1201477050781</v>
      </c>
      <c r="I8" s="32">
        <v>1.7060180902480999</v>
      </c>
      <c r="J8" s="32">
        <v>10.9799146652221</v>
      </c>
      <c r="K8" s="32">
        <f t="shared" si="0"/>
        <v>18.140517130678795</v>
      </c>
      <c r="L8" s="32">
        <f t="shared" si="1"/>
        <v>62.114573907510469</v>
      </c>
      <c r="M8" s="32" t="s">
        <v>789</v>
      </c>
      <c r="N8" s="32"/>
      <c r="O8" s="32"/>
      <c r="P8" s="32">
        <v>14.671169281005801</v>
      </c>
      <c r="Q8" s="32">
        <v>16.147682189941399</v>
      </c>
      <c r="R8" s="32">
        <v>16.810623168945298</v>
      </c>
      <c r="S8" s="32">
        <v>16.850383758544901</v>
      </c>
      <c r="T8" s="32">
        <v>16.268917083740199</v>
      </c>
      <c r="U8" s="32">
        <v>16.222293853759702</v>
      </c>
      <c r="V8" s="32">
        <v>16.2841491699218</v>
      </c>
      <c r="W8" s="32">
        <v>16.564243316650298</v>
      </c>
      <c r="X8" s="32">
        <v>15.352455139160099</v>
      </c>
      <c r="Y8" s="32">
        <v>16.262821197509702</v>
      </c>
      <c r="Z8" s="32"/>
      <c r="AA8" s="32">
        <f t="shared" si="2"/>
        <v>1</v>
      </c>
      <c r="AB8" s="32">
        <f t="shared" si="3"/>
        <v>1.1006404384446156</v>
      </c>
      <c r="AC8" s="32">
        <f t="shared" si="4"/>
        <v>1.1458270876002614</v>
      </c>
      <c r="AD8" s="32">
        <f t="shared" si="5"/>
        <v>1.148537204894803</v>
      </c>
      <c r="AE8" s="32">
        <f t="shared" si="6"/>
        <v>1.1089039170724408</v>
      </c>
      <c r="AF8" s="32">
        <f t="shared" si="7"/>
        <v>1.105726036080988</v>
      </c>
      <c r="AG8" s="32">
        <f t="shared" si="8"/>
        <v>1.1099421496693016</v>
      </c>
      <c r="AH8" s="32">
        <f t="shared" si="9"/>
        <v>1.1290336168430275</v>
      </c>
      <c r="AI8" s="32">
        <f t="shared" si="10"/>
        <v>1.04643705250108</v>
      </c>
      <c r="AJ8" s="32">
        <f t="shared" si="11"/>
        <v>1.1084884160231558</v>
      </c>
    </row>
    <row r="9" spans="1:36" x14ac:dyDescent="0.25">
      <c r="A9" s="30"/>
      <c r="B9" s="30" t="s">
        <v>790</v>
      </c>
      <c r="C9" s="30">
        <v>7</v>
      </c>
      <c r="D9" s="30">
        <v>-70.53</v>
      </c>
      <c r="E9" s="30">
        <v>0.22006458044052099</v>
      </c>
      <c r="F9" s="30">
        <v>0.86641484498977706</v>
      </c>
      <c r="G9" s="30">
        <v>4.3881115913391104</v>
      </c>
      <c r="H9" s="30">
        <v>17.535964965820298</v>
      </c>
      <c r="I9" s="30">
        <v>0.8752800822258</v>
      </c>
      <c r="J9" s="30">
        <v>4.8111453056335396</v>
      </c>
      <c r="K9" s="30">
        <f t="shared" si="0"/>
        <v>21.889995177463238</v>
      </c>
      <c r="L9" s="30">
        <f t="shared" si="1"/>
        <v>99.470778685258082</v>
      </c>
      <c r="M9" s="30" t="s">
        <v>791</v>
      </c>
      <c r="N9" s="30"/>
      <c r="O9" s="30"/>
      <c r="P9" s="30">
        <v>18.936214447021399</v>
      </c>
      <c r="Q9" s="30">
        <v>20.01021194458</v>
      </c>
      <c r="R9" s="30">
        <v>19.527626037597599</v>
      </c>
      <c r="S9" s="30">
        <v>20.061656951904201</v>
      </c>
      <c r="T9" s="30">
        <v>19.103946685791001</v>
      </c>
      <c r="U9" s="30">
        <v>18.2813186645507</v>
      </c>
      <c r="V9" s="30">
        <v>17.043819427490199</v>
      </c>
      <c r="W9" s="30">
        <v>17.007102966308501</v>
      </c>
      <c r="X9" s="30">
        <v>16.8250732421875</v>
      </c>
      <c r="Y9" s="30">
        <v>15.6237030029296</v>
      </c>
      <c r="Z9" s="30"/>
      <c r="AA9" s="30">
        <f t="shared" si="2"/>
        <v>1</v>
      </c>
      <c r="AB9" s="30">
        <f t="shared" si="3"/>
        <v>1.0567165892931434</v>
      </c>
      <c r="AC9" s="30">
        <f t="shared" si="4"/>
        <v>1.0312317750852904</v>
      </c>
      <c r="AD9" s="30">
        <f t="shared" si="5"/>
        <v>1.0594333417606512</v>
      </c>
      <c r="AE9" s="30">
        <f t="shared" si="6"/>
        <v>1.0088577492211483</v>
      </c>
      <c r="AF9" s="30">
        <f t="shared" si="7"/>
        <v>0.96541569676965122</v>
      </c>
      <c r="AG9" s="30">
        <f t="shared" si="8"/>
        <v>0.90006476612178066</v>
      </c>
      <c r="AH9" s="30">
        <f t="shared" si="9"/>
        <v>0.89812581146511361</v>
      </c>
      <c r="AI9" s="30">
        <f t="shared" si="10"/>
        <v>0.88851302826442302</v>
      </c>
      <c r="AJ9" s="30">
        <f t="shared" si="11"/>
        <v>0.82507002899870274</v>
      </c>
    </row>
    <row r="10" spans="1:36" x14ac:dyDescent="0.25">
      <c r="A10" s="30"/>
      <c r="B10" s="30" t="s">
        <v>792</v>
      </c>
      <c r="C10" s="30">
        <v>8</v>
      </c>
      <c r="D10" s="30">
        <v>-64.56</v>
      </c>
      <c r="E10" s="30">
        <v>0.21245034039020499</v>
      </c>
      <c r="F10" s="30">
        <v>1.1415778398513701</v>
      </c>
      <c r="G10" s="30">
        <v>3.7208707332611</v>
      </c>
      <c r="H10" s="30">
        <v>15.8841400146484</v>
      </c>
      <c r="I10" s="30">
        <v>0.97455877065658603</v>
      </c>
      <c r="J10" s="30">
        <v>4.9739470481872496</v>
      </c>
      <c r="K10" s="30">
        <f t="shared" si="0"/>
        <v>19.776796905446052</v>
      </c>
      <c r="L10" s="30">
        <f t="shared" si="1"/>
        <v>93.089033743708043</v>
      </c>
      <c r="M10" s="30"/>
      <c r="N10" s="30"/>
      <c r="O10" s="30"/>
      <c r="P10" s="30">
        <v>16.047222137451101</v>
      </c>
      <c r="Q10" s="30">
        <v>17.368694305419901</v>
      </c>
      <c r="R10" s="30">
        <v>17.627498626708899</v>
      </c>
      <c r="S10" s="30">
        <v>17.3440132141113</v>
      </c>
      <c r="T10" s="30">
        <v>17.214550018310501</v>
      </c>
      <c r="U10" s="30">
        <v>16.115688323974599</v>
      </c>
      <c r="V10" s="30">
        <v>15.7216644287109</v>
      </c>
      <c r="W10" s="30">
        <v>15.122764587402299</v>
      </c>
      <c r="X10" s="30">
        <v>13.581520080566399</v>
      </c>
      <c r="Y10" s="30">
        <v>14.0464477539062</v>
      </c>
      <c r="Z10" s="30"/>
      <c r="AA10" s="30">
        <f t="shared" si="2"/>
        <v>1</v>
      </c>
      <c r="AB10" s="30">
        <f t="shared" si="3"/>
        <v>1.0823489671078175</v>
      </c>
      <c r="AC10" s="30">
        <f t="shared" si="4"/>
        <v>1.0984766382444311</v>
      </c>
      <c r="AD10" s="30">
        <f t="shared" si="5"/>
        <v>1.0808109382142683</v>
      </c>
      <c r="AE10" s="30">
        <f t="shared" si="6"/>
        <v>1.0727432991741968</v>
      </c>
      <c r="AF10" s="30">
        <f t="shared" si="7"/>
        <v>1.0042665444484444</v>
      </c>
      <c r="AG10" s="30">
        <f t="shared" si="8"/>
        <v>0.97971251934125025</v>
      </c>
      <c r="AH10" s="30">
        <f t="shared" si="9"/>
        <v>0.94239142811569254</v>
      </c>
      <c r="AI10" s="30">
        <f t="shared" si="10"/>
        <v>0.84634711006272967</v>
      </c>
      <c r="AJ10" s="30">
        <f t="shared" si="11"/>
        <v>0.87531958077183458</v>
      </c>
    </row>
    <row r="11" spans="1:36" x14ac:dyDescent="0.25">
      <c r="A11" s="30"/>
      <c r="B11" s="30" t="s">
        <v>793</v>
      </c>
      <c r="C11" s="30">
        <v>9</v>
      </c>
      <c r="D11" s="30">
        <v>-71.45</v>
      </c>
      <c r="E11" s="30">
        <v>0.23382690548896801</v>
      </c>
      <c r="F11" s="30">
        <v>0.69223034381866499</v>
      </c>
      <c r="G11" s="30">
        <v>3.62987232208252</v>
      </c>
      <c r="H11" s="30">
        <v>21.461814880371001</v>
      </c>
      <c r="I11" s="30">
        <v>0.88631767034530595</v>
      </c>
      <c r="J11" s="30">
        <v>4.6715111732482901</v>
      </c>
      <c r="K11" s="30">
        <f t="shared" si="0"/>
        <v>28.250390370024547</v>
      </c>
      <c r="L11" s="30">
        <f t="shared" si="1"/>
        <v>120.8175351375781</v>
      </c>
      <c r="M11" s="30"/>
      <c r="N11" s="30"/>
      <c r="O11" s="30"/>
      <c r="P11" s="30">
        <v>20.708827972412099</v>
      </c>
      <c r="Q11" s="30">
        <v>22.846286773681602</v>
      </c>
      <c r="R11" s="30">
        <v>22.210014343261701</v>
      </c>
      <c r="S11" s="30">
        <v>22.536075592041001</v>
      </c>
      <c r="T11" s="30">
        <v>22.8121643066406</v>
      </c>
      <c r="U11" s="30">
        <v>21.311531066894499</v>
      </c>
      <c r="V11" s="30">
        <v>20.9295959472656</v>
      </c>
      <c r="W11" s="30">
        <v>19.558422088623001</v>
      </c>
      <c r="X11" s="30">
        <v>18.6735229492187</v>
      </c>
      <c r="Y11" s="30">
        <v>19.734962463378899</v>
      </c>
      <c r="Z11" s="30"/>
      <c r="AA11" s="30">
        <f t="shared" si="2"/>
        <v>1</v>
      </c>
      <c r="AB11" s="30">
        <f t="shared" si="3"/>
        <v>1.1032148610301358</v>
      </c>
      <c r="AC11" s="30">
        <f t="shared" si="4"/>
        <v>1.0724901656843862</v>
      </c>
      <c r="AD11" s="30">
        <f t="shared" si="5"/>
        <v>1.0882352020144803</v>
      </c>
      <c r="AE11" s="30">
        <f t="shared" si="6"/>
        <v>1.1015671353796808</v>
      </c>
      <c r="AF11" s="30">
        <f t="shared" si="7"/>
        <v>1.0291036796136077</v>
      </c>
      <c r="AG11" s="30">
        <f t="shared" si="8"/>
        <v>1.0106605731211638</v>
      </c>
      <c r="AH11" s="30">
        <f t="shared" si="9"/>
        <v>0.94444852768482856</v>
      </c>
      <c r="AI11" s="30">
        <f t="shared" si="10"/>
        <v>0.90171800036656868</v>
      </c>
      <c r="AJ11" s="30">
        <f t="shared" si="11"/>
        <v>0.952973412578898</v>
      </c>
    </row>
    <row r="12" spans="1:36" x14ac:dyDescent="0.25">
      <c r="A12" s="30"/>
      <c r="B12" s="30" t="s">
        <v>794</v>
      </c>
      <c r="C12" s="30">
        <v>10</v>
      </c>
      <c r="D12" s="30">
        <v>-58.44</v>
      </c>
      <c r="E12" s="30">
        <v>0.25471153855323803</v>
      </c>
      <c r="F12" s="30">
        <v>0.94402009248733498</v>
      </c>
      <c r="G12" s="30">
        <v>3.6193280220031698</v>
      </c>
      <c r="H12" s="30">
        <v>17.6586380004882</v>
      </c>
      <c r="I12" s="30">
        <v>0.90839785337448098</v>
      </c>
      <c r="J12" s="30">
        <v>4.6746811866760201</v>
      </c>
      <c r="K12" s="30">
        <f t="shared" si="0"/>
        <v>23.288170923600546</v>
      </c>
      <c r="L12" s="30">
        <f t="shared" si="1"/>
        <v>91.429587587108912</v>
      </c>
      <c r="M12" s="30"/>
      <c r="N12" s="30"/>
      <c r="O12" s="30"/>
      <c r="P12" s="30">
        <v>17.034038543701101</v>
      </c>
      <c r="Q12" s="30">
        <v>17.623233795166001</v>
      </c>
      <c r="R12" s="30">
        <v>18.648868560791001</v>
      </c>
      <c r="S12" s="30">
        <v>17.5340270996093</v>
      </c>
      <c r="T12" s="30">
        <v>17.9571838378906</v>
      </c>
      <c r="U12" s="30">
        <v>17.309780120849599</v>
      </c>
      <c r="V12" s="30">
        <v>17.938411712646399</v>
      </c>
      <c r="W12" s="30">
        <v>17.499576568603501</v>
      </c>
      <c r="X12" s="30">
        <v>16.648479461669901</v>
      </c>
      <c r="Y12" s="30">
        <v>16.4030456542968</v>
      </c>
      <c r="Z12" s="30"/>
      <c r="AA12" s="30">
        <f t="shared" si="2"/>
        <v>1</v>
      </c>
      <c r="AB12" s="30">
        <f t="shared" si="3"/>
        <v>1.0345892872059266</v>
      </c>
      <c r="AC12" s="30">
        <f t="shared" si="4"/>
        <v>1.0948001856956604</v>
      </c>
      <c r="AD12" s="30">
        <f t="shared" si="5"/>
        <v>1.0293523203335175</v>
      </c>
      <c r="AE12" s="30">
        <f t="shared" si="6"/>
        <v>1.0541941531845871</v>
      </c>
      <c r="AF12" s="30">
        <f t="shared" si="7"/>
        <v>1.0161876807100723</v>
      </c>
      <c r="AG12" s="30">
        <f t="shared" si="8"/>
        <v>1.0530921170939653</v>
      </c>
      <c r="AH12" s="30">
        <f t="shared" si="9"/>
        <v>1.0273298679997733</v>
      </c>
      <c r="AI12" s="30">
        <f t="shared" si="10"/>
        <v>0.97736537456798389</v>
      </c>
      <c r="AJ12" s="30">
        <f t="shared" si="11"/>
        <v>0.96295694131573806</v>
      </c>
    </row>
    <row r="13" spans="1:36" x14ac:dyDescent="0.25">
      <c r="A13" s="30"/>
      <c r="B13" s="30" t="s">
        <v>795</v>
      </c>
      <c r="C13" s="30">
        <v>11</v>
      </c>
      <c r="D13" s="30">
        <v>-60.84</v>
      </c>
      <c r="E13" s="30">
        <v>0.28289365768432601</v>
      </c>
      <c r="F13" s="30">
        <v>1.1357182264328001</v>
      </c>
      <c r="G13" s="30">
        <v>3.4009368419647199</v>
      </c>
      <c r="H13" s="30">
        <v>14.1563911437988</v>
      </c>
      <c r="I13" s="30">
        <v>0.87282294034957897</v>
      </c>
      <c r="J13" s="30">
        <v>4.4395799636840803</v>
      </c>
      <c r="K13" s="30">
        <f t="shared" si="0"/>
        <v>17.394260350647389</v>
      </c>
      <c r="L13" s="30">
        <f t="shared" si="1"/>
        <v>61.486922305120082</v>
      </c>
      <c r="M13" s="30"/>
      <c r="N13" s="30"/>
      <c r="O13" s="30"/>
      <c r="P13" s="30">
        <v>13.018947601318301</v>
      </c>
      <c r="Q13" s="30">
        <v>14.7154541015625</v>
      </c>
      <c r="R13" s="30">
        <v>15.1965217590332</v>
      </c>
      <c r="S13" s="30">
        <v>16.6914558410644</v>
      </c>
      <c r="T13" s="30">
        <v>16.507381439208899</v>
      </c>
      <c r="U13" s="30">
        <v>15.641902923583901</v>
      </c>
      <c r="V13" s="30">
        <v>16.241672515869102</v>
      </c>
      <c r="W13" s="30">
        <v>14.4391059875488</v>
      </c>
      <c r="X13" s="30">
        <v>14.978160858154199</v>
      </c>
      <c r="Y13" s="30">
        <v>13.432331085205</v>
      </c>
      <c r="Z13" s="30"/>
      <c r="AA13" s="30">
        <f t="shared" si="2"/>
        <v>1</v>
      </c>
      <c r="AB13" s="30">
        <f t="shared" si="3"/>
        <v>1.1303105713454451</v>
      </c>
      <c r="AC13" s="30">
        <f t="shared" si="4"/>
        <v>1.1672619188892348</v>
      </c>
      <c r="AD13" s="30">
        <f t="shared" si="5"/>
        <v>1.2820894862019585</v>
      </c>
      <c r="AE13" s="30">
        <f t="shared" si="6"/>
        <v>1.2679505244753699</v>
      </c>
      <c r="AF13" s="30">
        <f t="shared" si="7"/>
        <v>1.2014721467962586</v>
      </c>
      <c r="AG13" s="30">
        <f t="shared" si="8"/>
        <v>1.2475411233873057</v>
      </c>
      <c r="AH13" s="30">
        <f t="shared" si="9"/>
        <v>1.1090839620620867</v>
      </c>
      <c r="AI13" s="30">
        <f t="shared" si="10"/>
        <v>1.1504893726308192</v>
      </c>
      <c r="AJ13" s="30">
        <f t="shared" si="11"/>
        <v>1.0317524500862758</v>
      </c>
    </row>
    <row r="14" spans="1:36" x14ac:dyDescent="0.25">
      <c r="A14" s="30"/>
      <c r="B14" s="30" t="s">
        <v>796</v>
      </c>
      <c r="C14" s="30">
        <v>12</v>
      </c>
      <c r="D14" s="30">
        <v>-71.53</v>
      </c>
      <c r="E14" s="30">
        <v>0.213199183344841</v>
      </c>
      <c r="F14" s="30">
        <v>1.37990033626556</v>
      </c>
      <c r="G14" s="30">
        <v>3.5257494449615399</v>
      </c>
      <c r="H14" s="30">
        <v>11.574256896972599</v>
      </c>
      <c r="I14" s="30">
        <v>1.3213361501693699</v>
      </c>
      <c r="J14" s="30">
        <v>5.1740617752075204</v>
      </c>
      <c r="K14" s="30">
        <f t="shared" si="0"/>
        <v>13.295305797572817</v>
      </c>
      <c r="L14" s="30">
        <f t="shared" si="1"/>
        <v>62.360960248464934</v>
      </c>
      <c r="M14" s="30" t="s">
        <v>478</v>
      </c>
      <c r="N14" s="30"/>
      <c r="O14" s="30"/>
      <c r="P14" s="30">
        <v>11.276893615722599</v>
      </c>
      <c r="Q14" s="30">
        <v>12.210304260253899</v>
      </c>
      <c r="R14" s="30">
        <v>11.6738471984863</v>
      </c>
      <c r="S14" s="30">
        <v>11.1440887451171</v>
      </c>
      <c r="T14" s="30">
        <v>11.180461883544901</v>
      </c>
      <c r="U14" s="30">
        <v>11.437339782714799</v>
      </c>
      <c r="V14" s="30">
        <v>9.9134292602538991</v>
      </c>
      <c r="W14" s="30">
        <v>9.3670539855956996</v>
      </c>
      <c r="X14" s="30">
        <v>9.1023712158203107</v>
      </c>
      <c r="Y14" s="30">
        <v>9.1250686645507795</v>
      </c>
      <c r="Z14" s="30"/>
      <c r="AA14" s="30">
        <f t="shared" si="2"/>
        <v>1</v>
      </c>
      <c r="AB14" s="30">
        <f t="shared" si="3"/>
        <v>1.0827719650764382</v>
      </c>
      <c r="AC14" s="30">
        <f t="shared" si="4"/>
        <v>1.0352006143083814</v>
      </c>
      <c r="AD14" s="30">
        <f t="shared" si="5"/>
        <v>0.98822327538673083</v>
      </c>
      <c r="AE14" s="30">
        <f t="shared" si="6"/>
        <v>0.99144873265069644</v>
      </c>
      <c r="AF14" s="30">
        <f t="shared" si="7"/>
        <v>1.0142278691685538</v>
      </c>
      <c r="AG14" s="30">
        <f t="shared" si="8"/>
        <v>0.87909220376365749</v>
      </c>
      <c r="AH14" s="30">
        <f t="shared" si="9"/>
        <v>0.83064133659431338</v>
      </c>
      <c r="AI14" s="30">
        <f t="shared" si="10"/>
        <v>0.80717008832374715</v>
      </c>
      <c r="AJ14" s="30">
        <f t="shared" si="11"/>
        <v>0.80918282778054429</v>
      </c>
    </row>
    <row r="15" spans="1:36" x14ac:dyDescent="0.25">
      <c r="A15" s="30"/>
      <c r="B15" s="30" t="s">
        <v>797</v>
      </c>
      <c r="C15" s="30">
        <v>14</v>
      </c>
      <c r="D15" s="30">
        <v>-63</v>
      </c>
      <c r="E15" s="30">
        <v>0.16343721747398399</v>
      </c>
      <c r="F15" s="30">
        <v>1.0379111766815099</v>
      </c>
      <c r="G15" s="30">
        <v>3.3787860870361301</v>
      </c>
      <c r="H15" s="30">
        <v>13.890682220458901</v>
      </c>
      <c r="I15" s="30">
        <v>1.0293786525726301</v>
      </c>
      <c r="J15" s="30">
        <v>4.4231805801391602</v>
      </c>
      <c r="K15" s="30">
        <f t="shared" si="0"/>
        <v>16.865598688214849</v>
      </c>
      <c r="L15" s="30">
        <f t="shared" si="1"/>
        <v>103.19313402958248</v>
      </c>
      <c r="M15" s="30"/>
      <c r="N15" s="30"/>
      <c r="O15" s="30"/>
      <c r="P15" s="30">
        <v>13.2761726379394</v>
      </c>
      <c r="Q15" s="30">
        <v>15.105972290039</v>
      </c>
      <c r="R15" s="30">
        <v>15.124229431152299</v>
      </c>
      <c r="S15" s="30">
        <v>14.4554443359375</v>
      </c>
      <c r="T15" s="30">
        <v>13.858409881591699</v>
      </c>
      <c r="U15" s="30">
        <v>13.3289947509765</v>
      </c>
      <c r="V15" s="30">
        <v>12.8468894958496</v>
      </c>
      <c r="W15" s="30">
        <v>11.3509254455566</v>
      </c>
      <c r="X15" s="30">
        <v>12.090950012206999</v>
      </c>
      <c r="Y15" s="30">
        <v>9.7273712158203107</v>
      </c>
      <c r="Z15" s="30"/>
      <c r="AA15" s="30">
        <f t="shared" si="2"/>
        <v>1</v>
      </c>
      <c r="AB15" s="30">
        <f t="shared" si="3"/>
        <v>1.1378258404738253</v>
      </c>
      <c r="AC15" s="30">
        <f t="shared" si="4"/>
        <v>1.1392010215302335</v>
      </c>
      <c r="AD15" s="30">
        <f t="shared" si="5"/>
        <v>1.0888261798154153</v>
      </c>
      <c r="AE15" s="30">
        <f t="shared" si="6"/>
        <v>1.0438558053989473</v>
      </c>
      <c r="AF15" s="30">
        <f t="shared" si="7"/>
        <v>1.003978715438375</v>
      </c>
      <c r="AG15" s="30">
        <f t="shared" si="8"/>
        <v>0.96766514312543406</v>
      </c>
      <c r="AH15" s="30">
        <f t="shared" si="9"/>
        <v>0.85498477272877504</v>
      </c>
      <c r="AI15" s="30">
        <f t="shared" si="10"/>
        <v>0.910725578971052</v>
      </c>
      <c r="AJ15" s="30">
        <f t="shared" si="11"/>
        <v>0.7326939383133918</v>
      </c>
    </row>
    <row r="16" spans="1:36" x14ac:dyDescent="0.25">
      <c r="A16" s="30"/>
      <c r="B16" s="30" t="s">
        <v>798</v>
      </c>
      <c r="C16" s="30">
        <v>15</v>
      </c>
      <c r="D16" s="30">
        <v>-69.41</v>
      </c>
      <c r="E16" s="30">
        <v>0.18931262195110299</v>
      </c>
      <c r="F16" s="30">
        <v>0.98631072044372603</v>
      </c>
      <c r="G16" s="30">
        <v>3.6069910526275599</v>
      </c>
      <c r="H16" s="30">
        <v>16.729496002197202</v>
      </c>
      <c r="I16" s="30">
        <v>0.88310539722442605</v>
      </c>
      <c r="J16" s="30">
        <v>4.0372767448425204</v>
      </c>
      <c r="K16" s="30">
        <f t="shared" si="0"/>
        <v>20.725840875484561</v>
      </c>
      <c r="L16" s="30">
        <f t="shared" si="1"/>
        <v>109.47944549010461</v>
      </c>
      <c r="M16" s="30" t="s">
        <v>799</v>
      </c>
      <c r="N16" s="30"/>
      <c r="O16" s="30"/>
      <c r="P16" s="30">
        <v>18.553989410400298</v>
      </c>
      <c r="Q16" s="30">
        <v>17.7636413574218</v>
      </c>
      <c r="R16" s="30">
        <v>17.221584320068299</v>
      </c>
      <c r="S16" s="30">
        <v>16.342510223388601</v>
      </c>
      <c r="T16" s="30">
        <v>16.030391693115199</v>
      </c>
      <c r="U16" s="30">
        <v>13.918659210205</v>
      </c>
      <c r="V16" s="30">
        <v>14.342529296875</v>
      </c>
      <c r="W16" s="30">
        <v>12.843608856201101</v>
      </c>
      <c r="X16" s="30">
        <v>12.5550079345703</v>
      </c>
      <c r="Y16" s="30"/>
      <c r="Z16" s="30"/>
      <c r="AA16" s="30">
        <f t="shared" si="2"/>
        <v>1</v>
      </c>
      <c r="AB16" s="30">
        <f t="shared" si="3"/>
        <v>0.95740279702135245</v>
      </c>
      <c r="AC16" s="30">
        <f t="shared" si="4"/>
        <v>0.92818767646891454</v>
      </c>
      <c r="AD16" s="30">
        <f t="shared" si="5"/>
        <v>0.88080842679730809</v>
      </c>
      <c r="AE16" s="30">
        <f t="shared" si="6"/>
        <v>0.86398624783786304</v>
      </c>
      <c r="AF16" s="30">
        <f t="shared" si="7"/>
        <v>0.75017069926767344</v>
      </c>
      <c r="AG16" s="30">
        <f t="shared" si="8"/>
        <v>0.77301592555805831</v>
      </c>
      <c r="AH16" s="30">
        <f t="shared" si="9"/>
        <v>0.69222896338410722</v>
      </c>
      <c r="AI16" s="30">
        <f t="shared" si="10"/>
        <v>0.67667430744207957</v>
      </c>
      <c r="AJ16" s="30">
        <f t="shared" si="11"/>
        <v>0</v>
      </c>
    </row>
    <row r="17" spans="1:36" x14ac:dyDescent="0.25">
      <c r="A17" s="30"/>
      <c r="B17" s="30" t="s">
        <v>800</v>
      </c>
      <c r="C17" s="30">
        <v>16</v>
      </c>
      <c r="D17" s="30">
        <v>-70.23</v>
      </c>
      <c r="E17" s="30">
        <v>0.19603337347507499</v>
      </c>
      <c r="F17" s="30">
        <v>1.4417153596878001</v>
      </c>
      <c r="G17" s="30">
        <v>3.9485070705413801</v>
      </c>
      <c r="H17" s="30">
        <v>12.1158142089843</v>
      </c>
      <c r="I17" s="30">
        <v>1.34976041316986</v>
      </c>
      <c r="J17" s="30">
        <v>5.35133457183837</v>
      </c>
      <c r="K17" s="30">
        <f t="shared" si="0"/>
        <v>14.055680519773617</v>
      </c>
      <c r="L17" s="30">
        <f t="shared" si="1"/>
        <v>71.700447074950489</v>
      </c>
      <c r="M17" s="30" t="s">
        <v>768</v>
      </c>
      <c r="N17" s="30"/>
      <c r="O17" s="30"/>
      <c r="P17" s="30">
        <v>11.6403694152832</v>
      </c>
      <c r="Q17" s="30">
        <v>12.879783630371</v>
      </c>
      <c r="R17" s="30">
        <v>12.832378387451101</v>
      </c>
      <c r="S17" s="30">
        <v>12.3190956115722</v>
      </c>
      <c r="T17" s="30">
        <v>12.2664527893066</v>
      </c>
      <c r="U17" s="30">
        <v>11.4363555908203</v>
      </c>
      <c r="V17" s="30">
        <v>10.299293518066399</v>
      </c>
      <c r="W17" s="30">
        <v>10.6275215148925</v>
      </c>
      <c r="X17" s="30">
        <v>9.9814033508300692</v>
      </c>
      <c r="Y17" s="30">
        <v>10.1985359191894</v>
      </c>
      <c r="Z17" s="30"/>
      <c r="AA17" s="30">
        <f t="shared" si="2"/>
        <v>1</v>
      </c>
      <c r="AB17" s="30">
        <f t="shared" si="3"/>
        <v>1.1064755052756756</v>
      </c>
      <c r="AC17" s="30">
        <f t="shared" si="4"/>
        <v>1.1024030191518541</v>
      </c>
      <c r="AD17" s="30">
        <f t="shared" si="5"/>
        <v>1.0583079601750327</v>
      </c>
      <c r="AE17" s="30">
        <f t="shared" si="6"/>
        <v>1.0537855244698149</v>
      </c>
      <c r="AF17" s="30">
        <f t="shared" si="7"/>
        <v>0.98247359536587908</v>
      </c>
      <c r="AG17" s="30">
        <f t="shared" si="8"/>
        <v>0.88479095040952582</v>
      </c>
      <c r="AH17" s="30">
        <f t="shared" si="9"/>
        <v>0.91298833703156512</v>
      </c>
      <c r="AI17" s="30">
        <f t="shared" si="10"/>
        <v>0.85748166529191128</v>
      </c>
      <c r="AJ17" s="30">
        <f t="shared" si="11"/>
        <v>0.87613507401227775</v>
      </c>
    </row>
    <row r="19" spans="1:36" x14ac:dyDescent="0.25">
      <c r="A19" s="32"/>
      <c r="B19" s="32" t="s">
        <v>801</v>
      </c>
      <c r="C19" s="32">
        <v>1</v>
      </c>
      <c r="D19" s="32">
        <v>-69.849999999999994</v>
      </c>
      <c r="E19" s="32">
        <v>0.44550362229347201</v>
      </c>
      <c r="F19" s="32">
        <v>1.1477034091949401</v>
      </c>
      <c r="G19" s="32">
        <v>8.2398805618286097</v>
      </c>
      <c r="H19" s="32">
        <v>25.789108276367099</v>
      </c>
      <c r="I19" s="32">
        <v>1.1893117427825901</v>
      </c>
      <c r="J19" s="32">
        <v>9.0418462753295898</v>
      </c>
      <c r="K19" s="32">
        <f t="shared" ref="K19:K29" si="12">H19/(1-(0.8*(H19/(ABS(D19)))))</f>
        <v>36.599274735943325</v>
      </c>
      <c r="L19" s="32">
        <f t="shared" ref="L19:L29" si="13">K19/E19</f>
        <v>82.152586206883498</v>
      </c>
      <c r="M19" s="32" t="s">
        <v>802</v>
      </c>
      <c r="N19" s="32"/>
      <c r="O19" s="32"/>
      <c r="P19" s="32">
        <v>25.032081604003899</v>
      </c>
      <c r="Q19" s="32">
        <v>28.133773803710898</v>
      </c>
      <c r="R19" s="32">
        <v>28.5163459777832</v>
      </c>
      <c r="S19" s="32">
        <v>28.9445075988769</v>
      </c>
      <c r="T19" s="32">
        <v>28.905788421630799</v>
      </c>
      <c r="U19" s="32">
        <v>27.012699127197202</v>
      </c>
      <c r="V19" s="32">
        <v>26.656944274902301</v>
      </c>
      <c r="W19" s="32">
        <v>26.982597351074201</v>
      </c>
      <c r="X19" s="32">
        <v>25.102748870849599</v>
      </c>
      <c r="Y19" s="32">
        <v>23.078170776367099</v>
      </c>
      <c r="Z19" s="32"/>
      <c r="AA19" s="32">
        <f>P19/P19</f>
        <v>1</v>
      </c>
      <c r="AB19" s="32">
        <f>Q19/P19</f>
        <v>1.1239086804195653</v>
      </c>
      <c r="AC19" s="32">
        <f>R19/P19</f>
        <v>1.1391919549040617</v>
      </c>
      <c r="AD19" s="32">
        <f>S19/P19</f>
        <v>1.1562964701364351</v>
      </c>
      <c r="AE19" s="32">
        <f>T19/P19</f>
        <v>1.1547496879767001</v>
      </c>
      <c r="AF19" s="32">
        <f>U19/P19</f>
        <v>1.0791231650058419</v>
      </c>
      <c r="AG19" s="32">
        <f>V19/P19</f>
        <v>1.0649112086083365</v>
      </c>
      <c r="AH19" s="32">
        <f>W19/P19</f>
        <v>1.077920637121857</v>
      </c>
      <c r="AI19" s="32">
        <f>X19/P19</f>
        <v>1.0028230679319292</v>
      </c>
      <c r="AJ19" s="32">
        <f>Y19/P19</f>
        <v>0.92194373370354177</v>
      </c>
    </row>
    <row r="20" spans="1:36" x14ac:dyDescent="0.25">
      <c r="A20" s="32"/>
      <c r="B20" s="32" t="s">
        <v>803</v>
      </c>
      <c r="C20" s="32">
        <v>2</v>
      </c>
      <c r="D20" s="32">
        <v>-73.569999999999993</v>
      </c>
      <c r="E20" s="32">
        <v>0.28431263566017201</v>
      </c>
      <c r="F20" s="32">
        <v>0.99472081661224399</v>
      </c>
      <c r="G20" s="32">
        <v>6.0643758773803702</v>
      </c>
      <c r="H20" s="32">
        <v>23.1649055480957</v>
      </c>
      <c r="I20" s="32">
        <v>1.1870039701461701</v>
      </c>
      <c r="J20" s="32">
        <v>6.9514198303222603</v>
      </c>
      <c r="K20" s="32">
        <f t="shared" si="12"/>
        <v>30.964783629986133</v>
      </c>
      <c r="L20" s="32">
        <f t="shared" si="13"/>
        <v>108.91103576204453</v>
      </c>
      <c r="M20" s="32" t="s">
        <v>802</v>
      </c>
      <c r="N20" s="32"/>
      <c r="O20" s="32"/>
      <c r="P20" s="32">
        <v>22.639827728271399</v>
      </c>
      <c r="Q20" s="32">
        <v>25.548770904541001</v>
      </c>
      <c r="R20" s="32">
        <v>25.54833984375</v>
      </c>
      <c r="S20" s="32">
        <v>26.664379119873001</v>
      </c>
      <c r="T20" s="32">
        <v>25.7077827453613</v>
      </c>
      <c r="U20" s="32">
        <v>25.4575691223144</v>
      </c>
      <c r="V20" s="32">
        <v>24.556392669677699</v>
      </c>
      <c r="W20" s="32">
        <v>23.6449470520019</v>
      </c>
      <c r="X20" s="32">
        <v>22.668613433837798</v>
      </c>
      <c r="Y20" s="32">
        <v>22.605613708496001</v>
      </c>
      <c r="Z20" s="32"/>
      <c r="AA20" s="32">
        <f t="shared" ref="AA20:AA29" si="14">P20/P20</f>
        <v>1</v>
      </c>
      <c r="AB20" s="32">
        <f t="shared" ref="AB20:AB29" si="15">Q20/P20</f>
        <v>1.1284878670979051</v>
      </c>
      <c r="AC20" s="32">
        <f t="shared" ref="AC20:AC29" si="16">R20/P20</f>
        <v>1.1284688271654386</v>
      </c>
      <c r="AD20" s="32">
        <f t="shared" ref="AD20:AD29" si="17">S20/P20</f>
        <v>1.1777642232929166</v>
      </c>
      <c r="AE20" s="32">
        <f t="shared" ref="AE20:AE29" si="18">T20/P20</f>
        <v>1.1355114117435974</v>
      </c>
      <c r="AF20" s="32">
        <f t="shared" ref="AF20:AF29" si="19">U20/P20</f>
        <v>1.1244594891737782</v>
      </c>
      <c r="AG20" s="32">
        <f t="shared" ref="AG20:AG29" si="20">V20/P20</f>
        <v>1.0846545726588279</v>
      </c>
      <c r="AH20" s="32">
        <f t="shared" ref="AH20:AH29" si="21">W20/P20</f>
        <v>1.0443960676642148</v>
      </c>
      <c r="AI20" s="32">
        <f t="shared" ref="AI20:AI29" si="22">X20/P20</f>
        <v>1.0012714631008632</v>
      </c>
      <c r="AJ20" s="32">
        <f t="shared" ref="AJ20:AJ29" si="23">Y20/P20</f>
        <v>0.99848876854603119</v>
      </c>
    </row>
    <row r="21" spans="1:36" x14ac:dyDescent="0.25">
      <c r="A21" s="30"/>
      <c r="B21" s="30" t="s">
        <v>804</v>
      </c>
      <c r="C21" s="30">
        <v>3</v>
      </c>
      <c r="D21" s="30">
        <v>-59.57</v>
      </c>
      <c r="E21" s="30">
        <v>0.206610143184662</v>
      </c>
      <c r="F21" s="30">
        <v>1.30708956718444</v>
      </c>
      <c r="G21" s="30">
        <v>8.1520948410034109</v>
      </c>
      <c r="H21" s="30">
        <v>18.2272644042968</v>
      </c>
      <c r="I21" s="30">
        <v>1.1551556587219201</v>
      </c>
      <c r="J21" s="30">
        <v>9.1776981353759695</v>
      </c>
      <c r="K21" s="30">
        <f t="shared" si="12"/>
        <v>24.135182529735051</v>
      </c>
      <c r="L21" s="30">
        <f t="shared" si="13"/>
        <v>116.81509028413838</v>
      </c>
      <c r="M21" s="30"/>
      <c r="N21" s="30"/>
      <c r="O21" s="30"/>
      <c r="P21" s="30">
        <v>19.008113861083899</v>
      </c>
      <c r="Q21" s="30">
        <v>20.097652435302699</v>
      </c>
      <c r="R21" s="30">
        <v>20.598323822021399</v>
      </c>
      <c r="S21" s="30">
        <v>21.2796936035156</v>
      </c>
      <c r="T21" s="30">
        <v>20.873397827148398</v>
      </c>
      <c r="U21" s="30">
        <v>19.6226692199707</v>
      </c>
      <c r="V21" s="30">
        <v>19.758861541748001</v>
      </c>
      <c r="W21" s="30">
        <v>19.9072456359863</v>
      </c>
      <c r="X21" s="30">
        <v>17.5191841125488</v>
      </c>
      <c r="Y21" s="30">
        <v>19.101970672607401</v>
      </c>
      <c r="Z21" s="30"/>
      <c r="AA21" s="30">
        <f t="shared" si="14"/>
        <v>1</v>
      </c>
      <c r="AB21" s="30">
        <f t="shared" si="15"/>
        <v>1.0573196573937542</v>
      </c>
      <c r="AC21" s="30">
        <f t="shared" si="16"/>
        <v>1.0836595346891942</v>
      </c>
      <c r="AD21" s="30">
        <f t="shared" si="17"/>
        <v>1.1195057941589039</v>
      </c>
      <c r="AE21" s="30">
        <f t="shared" si="18"/>
        <v>1.0981309339630678</v>
      </c>
      <c r="AF21" s="30">
        <f t="shared" si="19"/>
        <v>1.0323312119959995</v>
      </c>
      <c r="AG21" s="30">
        <f t="shared" si="20"/>
        <v>1.0394961691702163</v>
      </c>
      <c r="AH21" s="30">
        <f t="shared" si="21"/>
        <v>1.0473025246730676</v>
      </c>
      <c r="AI21" s="30">
        <f t="shared" si="22"/>
        <v>0.9216687273962807</v>
      </c>
      <c r="AJ21" s="30">
        <f t="shared" si="23"/>
        <v>1.0049377235537114</v>
      </c>
    </row>
    <row r="22" spans="1:36" x14ac:dyDescent="0.25">
      <c r="A22" s="30"/>
      <c r="B22" s="30" t="s">
        <v>805</v>
      </c>
      <c r="C22" s="30">
        <v>4</v>
      </c>
      <c r="D22" s="30">
        <v>-65.77</v>
      </c>
      <c r="E22" s="30">
        <v>0.140543937683105</v>
      </c>
      <c r="F22" s="30">
        <v>1.0606272220611499</v>
      </c>
      <c r="G22" s="30">
        <v>5.0399031639099103</v>
      </c>
      <c r="H22" s="30">
        <v>10.935161590576101</v>
      </c>
      <c r="I22" s="30">
        <v>1.11973941326141</v>
      </c>
      <c r="J22" s="30">
        <v>6.5264182090759197</v>
      </c>
      <c r="K22" s="30">
        <f t="shared" si="12"/>
        <v>12.612802221952439</v>
      </c>
      <c r="L22" s="30">
        <f t="shared" si="13"/>
        <v>89.742769626901122</v>
      </c>
      <c r="M22" s="30" t="s">
        <v>778</v>
      </c>
      <c r="N22" s="30"/>
      <c r="O22" s="30"/>
      <c r="P22" s="30">
        <v>10.9668617248535</v>
      </c>
      <c r="Q22" s="30">
        <v>11.609432220458901</v>
      </c>
      <c r="R22" s="30">
        <v>12.0660705566406</v>
      </c>
      <c r="S22" s="30">
        <v>11.7569580078125</v>
      </c>
      <c r="T22" s="30">
        <v>11.851558685302701</v>
      </c>
      <c r="U22" s="30">
        <v>11.8605079650878</v>
      </c>
      <c r="V22" s="30">
        <v>10.267292022705</v>
      </c>
      <c r="W22" s="30">
        <v>10.398475646972599</v>
      </c>
      <c r="X22" s="30">
        <v>10.3515281677246</v>
      </c>
      <c r="Y22" s="30">
        <v>9.82684326171875</v>
      </c>
      <c r="Z22" s="30"/>
      <c r="AA22" s="30">
        <f t="shared" si="14"/>
        <v>1</v>
      </c>
      <c r="AB22" s="30">
        <f t="shared" si="15"/>
        <v>1.0585920121659951</v>
      </c>
      <c r="AC22" s="30">
        <f t="shared" si="16"/>
        <v>1.1002300256322219</v>
      </c>
      <c r="AD22" s="30">
        <f t="shared" si="17"/>
        <v>1.0720439723579678</v>
      </c>
      <c r="AE22" s="30">
        <f t="shared" si="18"/>
        <v>1.0806700205259512</v>
      </c>
      <c r="AF22" s="30">
        <f t="shared" si="19"/>
        <v>1.0814860497610803</v>
      </c>
      <c r="AG22" s="30">
        <f t="shared" si="20"/>
        <v>0.93621058424005565</v>
      </c>
      <c r="AH22" s="30">
        <f t="shared" si="21"/>
        <v>0.94817240408960357</v>
      </c>
      <c r="AI22" s="30">
        <f t="shared" si="22"/>
        <v>0.94389155507136491</v>
      </c>
      <c r="AJ22" s="30">
        <f t="shared" si="23"/>
        <v>0.89604879757431444</v>
      </c>
    </row>
    <row r="23" spans="1:36" x14ac:dyDescent="0.25">
      <c r="A23" s="30"/>
      <c r="B23" s="30" t="s">
        <v>806</v>
      </c>
      <c r="C23" s="30">
        <v>5</v>
      </c>
      <c r="D23" s="30">
        <v>-69.89</v>
      </c>
      <c r="E23" s="30">
        <v>0.181778013706207</v>
      </c>
      <c r="F23" s="30">
        <v>0.98548561334609996</v>
      </c>
      <c r="G23" s="30">
        <v>4.7966561317443803</v>
      </c>
      <c r="H23" s="30">
        <v>14.826744079589799</v>
      </c>
      <c r="I23" s="30">
        <v>1.18717718124389</v>
      </c>
      <c r="J23" s="30">
        <v>6.95001220703125</v>
      </c>
      <c r="K23" s="30">
        <f t="shared" si="12"/>
        <v>17.857419602470706</v>
      </c>
      <c r="L23" s="30">
        <f t="shared" si="13"/>
        <v>98.237510897947203</v>
      </c>
      <c r="M23" s="30"/>
      <c r="N23" s="30"/>
      <c r="O23" s="30"/>
      <c r="P23" s="30">
        <v>14.122722625732401</v>
      </c>
      <c r="Q23" s="30">
        <v>15.9346504211425</v>
      </c>
      <c r="R23" s="30">
        <v>16.6914367675781</v>
      </c>
      <c r="S23" s="30">
        <v>16.8320999145507</v>
      </c>
      <c r="T23" s="30">
        <v>16.240646362304599</v>
      </c>
      <c r="U23" s="30">
        <v>15.8136901855468</v>
      </c>
      <c r="V23" s="30">
        <v>14.9569587707519</v>
      </c>
      <c r="W23" s="30">
        <v>15.316875457763601</v>
      </c>
      <c r="X23" s="30">
        <v>15.229320526123001</v>
      </c>
      <c r="Y23" s="30">
        <v>13.429470062255801</v>
      </c>
      <c r="Z23" s="30"/>
      <c r="AA23" s="30">
        <f t="shared" si="14"/>
        <v>1</v>
      </c>
      <c r="AB23" s="30">
        <f t="shared" si="15"/>
        <v>1.1282987596250502</v>
      </c>
      <c r="AC23" s="30">
        <f t="shared" si="16"/>
        <v>1.1818851938057153</v>
      </c>
      <c r="AD23" s="30">
        <f t="shared" si="17"/>
        <v>1.1918452525493675</v>
      </c>
      <c r="AE23" s="30">
        <f t="shared" si="18"/>
        <v>1.1499656824466142</v>
      </c>
      <c r="AF23" s="30">
        <f t="shared" si="19"/>
        <v>1.1197338221975246</v>
      </c>
      <c r="AG23" s="30">
        <f t="shared" si="20"/>
        <v>1.0590704899563399</v>
      </c>
      <c r="AH23" s="30">
        <f t="shared" si="21"/>
        <v>1.0845554262926178</v>
      </c>
      <c r="AI23" s="30">
        <f t="shared" si="22"/>
        <v>1.0783558475031094</v>
      </c>
      <c r="AJ23" s="30">
        <f t="shared" si="23"/>
        <v>0.95091225807880309</v>
      </c>
    </row>
    <row r="24" spans="1:36" x14ac:dyDescent="0.25">
      <c r="A24" s="30"/>
      <c r="B24" s="30" t="s">
        <v>807</v>
      </c>
      <c r="C24" s="30">
        <v>6</v>
      </c>
      <c r="D24" s="30">
        <v>-78.02</v>
      </c>
      <c r="E24" s="30">
        <v>0.275605708360672</v>
      </c>
      <c r="F24" s="30">
        <v>1.8064506053924501</v>
      </c>
      <c r="G24" s="30">
        <v>9.2560253143310494</v>
      </c>
      <c r="H24" s="30">
        <v>16.970848083496001</v>
      </c>
      <c r="I24" s="30">
        <v>1.72925436496734</v>
      </c>
      <c r="J24" s="30">
        <v>15.243526458740201</v>
      </c>
      <c r="K24" s="30">
        <f t="shared" si="12"/>
        <v>20.5462030195349</v>
      </c>
      <c r="L24" s="30">
        <f t="shared" si="13"/>
        <v>74.549265114084889</v>
      </c>
      <c r="M24" s="30" t="s">
        <v>808</v>
      </c>
      <c r="N24" s="30"/>
      <c r="O24" s="30"/>
      <c r="P24" s="30">
        <v>17.205051422119102</v>
      </c>
      <c r="Q24" s="30">
        <v>18.5439643859863</v>
      </c>
      <c r="R24" s="30">
        <v>19.597274780273398</v>
      </c>
      <c r="S24" s="30">
        <v>18.974418640136701</v>
      </c>
      <c r="T24" s="30">
        <v>19.093959808349599</v>
      </c>
      <c r="U24" s="30">
        <v>18.967487335205</v>
      </c>
      <c r="V24" s="30">
        <v>17.846378326416001</v>
      </c>
      <c r="W24" s="30">
        <v>18.030891418456999</v>
      </c>
      <c r="X24" s="30">
        <v>18.459342956542901</v>
      </c>
      <c r="Y24" s="30">
        <v>17.207302093505799</v>
      </c>
      <c r="Z24" s="30"/>
      <c r="AA24" s="30">
        <f t="shared" si="14"/>
        <v>1</v>
      </c>
      <c r="AB24" s="30">
        <f t="shared" si="15"/>
        <v>1.0778209219500425</v>
      </c>
      <c r="AC24" s="30">
        <f t="shared" si="16"/>
        <v>1.139041918530904</v>
      </c>
      <c r="AD24" s="30">
        <f t="shared" si="17"/>
        <v>1.1028399842933845</v>
      </c>
      <c r="AE24" s="30">
        <f t="shared" si="18"/>
        <v>1.109788011665114</v>
      </c>
      <c r="AF24" s="30">
        <f t="shared" si="19"/>
        <v>1.1024371197647269</v>
      </c>
      <c r="AG24" s="30">
        <f t="shared" si="20"/>
        <v>1.0372755005819045</v>
      </c>
      <c r="AH24" s="30">
        <f t="shared" si="21"/>
        <v>1.0479998563256943</v>
      </c>
      <c r="AI24" s="30">
        <f t="shared" si="22"/>
        <v>1.0729025158745682</v>
      </c>
      <c r="AJ24" s="30">
        <f t="shared" si="23"/>
        <v>1.0001308145690169</v>
      </c>
    </row>
    <row r="25" spans="1:36" x14ac:dyDescent="0.25">
      <c r="A25" s="30"/>
      <c r="B25" s="30" t="s">
        <v>809</v>
      </c>
      <c r="C25" s="30">
        <v>7</v>
      </c>
      <c r="D25" s="30">
        <v>-69.86</v>
      </c>
      <c r="E25" s="30">
        <v>0.206844627857208</v>
      </c>
      <c r="F25" s="30">
        <v>1.0059888362884499</v>
      </c>
      <c r="G25" s="30">
        <v>3.71684217453002</v>
      </c>
      <c r="H25" s="30">
        <v>16.5421638488769</v>
      </c>
      <c r="I25" s="30">
        <v>1.11210548877716</v>
      </c>
      <c r="J25" s="30">
        <v>5.7297735214233398</v>
      </c>
      <c r="K25" s="30">
        <f t="shared" si="12"/>
        <v>20.40811779594473</v>
      </c>
      <c r="L25" s="30">
        <f t="shared" si="13"/>
        <v>98.66399725901104</v>
      </c>
      <c r="M25" s="30"/>
      <c r="N25" s="30"/>
      <c r="O25" s="30"/>
      <c r="P25" s="30">
        <v>16.336704254150298</v>
      </c>
      <c r="Q25" s="30">
        <v>16.729248046875</v>
      </c>
      <c r="R25" s="30">
        <v>17.6629028320312</v>
      </c>
      <c r="S25" s="30">
        <v>18.3447761535644</v>
      </c>
      <c r="T25" s="30">
        <v>17.236862182617099</v>
      </c>
      <c r="U25" s="30">
        <v>16.678340911865199</v>
      </c>
      <c r="V25" s="30">
        <v>16.488170623779201</v>
      </c>
      <c r="W25" s="30">
        <v>15.912315368652299</v>
      </c>
      <c r="X25" s="30">
        <v>15.621635437011699</v>
      </c>
      <c r="Y25" s="30">
        <v>15.064750671386699</v>
      </c>
      <c r="Z25" s="30"/>
      <c r="AA25" s="30">
        <f t="shared" si="14"/>
        <v>1</v>
      </c>
      <c r="AB25" s="30">
        <f t="shared" si="15"/>
        <v>1.0240283343946179</v>
      </c>
      <c r="AC25" s="30">
        <f t="shared" si="16"/>
        <v>1.0811790773248517</v>
      </c>
      <c r="AD25" s="30">
        <f t="shared" si="17"/>
        <v>1.1229178093803074</v>
      </c>
      <c r="AE25" s="30">
        <f t="shared" si="18"/>
        <v>1.0551003381381601</v>
      </c>
      <c r="AF25" s="30">
        <f t="shared" si="19"/>
        <v>1.0209122141406282</v>
      </c>
      <c r="AG25" s="30">
        <f t="shared" si="20"/>
        <v>1.009271537714862</v>
      </c>
      <c r="AH25" s="30">
        <f t="shared" si="21"/>
        <v>0.97402236834946776</v>
      </c>
      <c r="AI25" s="30">
        <f t="shared" si="22"/>
        <v>0.95622931002396416</v>
      </c>
      <c r="AJ25" s="30">
        <f t="shared" si="23"/>
        <v>0.92214135954377319</v>
      </c>
    </row>
    <row r="26" spans="1:36" x14ac:dyDescent="0.25">
      <c r="A26" s="30"/>
      <c r="B26" s="30" t="s">
        <v>810</v>
      </c>
      <c r="C26" s="30">
        <v>8</v>
      </c>
      <c r="D26" s="30">
        <v>-68.23</v>
      </c>
      <c r="E26" s="30">
        <v>0.37669160962104797</v>
      </c>
      <c r="F26" s="30">
        <v>0.96081644296646096</v>
      </c>
      <c r="G26" s="30">
        <v>5.1817035675048801</v>
      </c>
      <c r="H26" s="30">
        <v>21.895084381103501</v>
      </c>
      <c r="I26" s="30">
        <v>1.10149097442627</v>
      </c>
      <c r="J26" s="30">
        <v>7.6893739700317303</v>
      </c>
      <c r="K26" s="30">
        <f t="shared" si="12"/>
        <v>29.457419959821227</v>
      </c>
      <c r="L26" s="30">
        <f t="shared" si="13"/>
        <v>78.200361270205647</v>
      </c>
      <c r="M26" s="30"/>
      <c r="N26" s="30"/>
      <c r="O26" s="30"/>
      <c r="P26" s="30">
        <v>21.513881683349599</v>
      </c>
      <c r="Q26" s="30">
        <v>22.9942016601562</v>
      </c>
      <c r="R26" s="30">
        <v>24.275493621826101</v>
      </c>
      <c r="S26" s="30">
        <v>24.151748657226499</v>
      </c>
      <c r="T26" s="30">
        <v>22.725078582763601</v>
      </c>
      <c r="U26" s="30">
        <v>22.291049957275298</v>
      </c>
      <c r="V26" s="30">
        <v>22.177734375</v>
      </c>
      <c r="W26" s="30">
        <v>21.379680633544901</v>
      </c>
      <c r="X26" s="30">
        <v>20.002864837646399</v>
      </c>
      <c r="Y26" s="30">
        <v>20.120952606201101</v>
      </c>
      <c r="Z26" s="30"/>
      <c r="AA26" s="30">
        <f t="shared" si="14"/>
        <v>1</v>
      </c>
      <c r="AB26" s="30">
        <f t="shared" si="15"/>
        <v>1.0688076656084</v>
      </c>
      <c r="AC26" s="30">
        <f t="shared" si="16"/>
        <v>1.1283641873244017</v>
      </c>
      <c r="AD26" s="30">
        <f t="shared" si="17"/>
        <v>1.1226123213236059</v>
      </c>
      <c r="AE26" s="30">
        <f t="shared" si="18"/>
        <v>1.0562983899066152</v>
      </c>
      <c r="AF26" s="30">
        <f t="shared" si="19"/>
        <v>1.0361240377429044</v>
      </c>
      <c r="AG26" s="30">
        <f t="shared" si="20"/>
        <v>1.0308569462926898</v>
      </c>
      <c r="AH26" s="30">
        <f t="shared" si="21"/>
        <v>0.99376211825555583</v>
      </c>
      <c r="AI26" s="30">
        <f t="shared" si="22"/>
        <v>0.92976549430070388</v>
      </c>
      <c r="AJ26" s="30">
        <f t="shared" si="23"/>
        <v>0.93525440468390519</v>
      </c>
    </row>
    <row r="27" spans="1:36" x14ac:dyDescent="0.25">
      <c r="A27" s="30"/>
      <c r="B27" s="30" t="s">
        <v>811</v>
      </c>
      <c r="C27" s="30">
        <v>9</v>
      </c>
      <c r="D27" s="30">
        <v>-62.4</v>
      </c>
      <c r="E27" s="30">
        <v>0.162742495536804</v>
      </c>
      <c r="F27" s="30">
        <v>1.32199919223785</v>
      </c>
      <c r="G27" s="30">
        <v>5.3597207069396902</v>
      </c>
      <c r="H27" s="30">
        <v>13.8332977294921</v>
      </c>
      <c r="I27" s="30">
        <v>1.2102637290954501</v>
      </c>
      <c r="J27" s="30">
        <v>6.6450247764587402</v>
      </c>
      <c r="K27" s="30">
        <f t="shared" si="12"/>
        <v>16.815531805758845</v>
      </c>
      <c r="L27" s="30">
        <f t="shared" si="13"/>
        <v>103.32600437453679</v>
      </c>
      <c r="M27" s="30"/>
      <c r="N27" s="30"/>
      <c r="O27" s="30"/>
      <c r="P27" s="30">
        <v>13.0563621520996</v>
      </c>
      <c r="Q27" s="30">
        <v>13.732460021972599</v>
      </c>
      <c r="R27" s="30">
        <v>14.3008918762207</v>
      </c>
      <c r="S27" s="30">
        <v>14.083614349365201</v>
      </c>
      <c r="T27" s="30">
        <v>13.354122161865201</v>
      </c>
      <c r="U27" s="30">
        <v>13.4923095703125</v>
      </c>
      <c r="V27" s="30">
        <v>12.4269714355468</v>
      </c>
      <c r="W27" s="30">
        <v>11.726600646972599</v>
      </c>
      <c r="X27" s="30">
        <v>11.731388092041</v>
      </c>
      <c r="Y27" s="30">
        <v>11.3275604248046</v>
      </c>
      <c r="Z27" s="30"/>
      <c r="AA27" s="30">
        <f t="shared" si="14"/>
        <v>1</v>
      </c>
      <c r="AB27" s="30">
        <f t="shared" si="15"/>
        <v>1.0517830205685796</v>
      </c>
      <c r="AC27" s="30">
        <f t="shared" si="16"/>
        <v>1.0953197919621864</v>
      </c>
      <c r="AD27" s="30">
        <f t="shared" si="17"/>
        <v>1.0786782861335082</v>
      </c>
      <c r="AE27" s="30">
        <f t="shared" si="18"/>
        <v>1.0228057407030271</v>
      </c>
      <c r="AF27" s="30">
        <f t="shared" si="19"/>
        <v>1.0333896542646679</v>
      </c>
      <c r="AG27" s="30">
        <f t="shared" si="20"/>
        <v>0.95179432760666893</v>
      </c>
      <c r="AH27" s="30">
        <f t="shared" si="21"/>
        <v>0.89815221961247749</v>
      </c>
      <c r="AI27" s="30">
        <f t="shared" si="22"/>
        <v>0.89851889487872916</v>
      </c>
      <c r="AJ27" s="30">
        <f t="shared" si="23"/>
        <v>0.86758932487048157</v>
      </c>
    </row>
    <row r="28" spans="1:36" x14ac:dyDescent="0.25">
      <c r="A28" s="30"/>
      <c r="B28" s="30" t="s">
        <v>812</v>
      </c>
      <c r="C28" s="30">
        <v>10</v>
      </c>
      <c r="D28" s="30">
        <v>-66.78</v>
      </c>
      <c r="E28" s="30">
        <v>0.24882888793945299</v>
      </c>
      <c r="F28" s="30">
        <v>0.87357866764068604</v>
      </c>
      <c r="G28" s="30">
        <v>4.5750317573547301</v>
      </c>
      <c r="H28" s="30">
        <v>19.2338333129882</v>
      </c>
      <c r="I28" s="30">
        <v>1.04190301895141</v>
      </c>
      <c r="J28" s="30">
        <v>5.4618463516235298</v>
      </c>
      <c r="K28" s="30">
        <f t="shared" si="12"/>
        <v>24.992451392173997</v>
      </c>
      <c r="L28" s="30">
        <f t="shared" si="13"/>
        <v>100.44031301645072</v>
      </c>
      <c r="M28" s="30"/>
      <c r="N28" s="30"/>
      <c r="O28" s="30"/>
      <c r="P28" s="30">
        <v>18.678245544433501</v>
      </c>
      <c r="Q28" s="30">
        <v>21.1788330078125</v>
      </c>
      <c r="R28" s="30">
        <v>20.7458190917968</v>
      </c>
      <c r="S28" s="30">
        <v>21.202735900878899</v>
      </c>
      <c r="T28" s="30">
        <v>20.039443969726499</v>
      </c>
      <c r="U28" s="30">
        <v>19.785865783691399</v>
      </c>
      <c r="V28" s="30">
        <v>18.637428283691399</v>
      </c>
      <c r="W28" s="30">
        <v>19.068000793456999</v>
      </c>
      <c r="X28" s="30">
        <v>17.412174224853501</v>
      </c>
      <c r="Y28" s="30">
        <v>16.574333190917901</v>
      </c>
      <c r="Z28" s="30"/>
      <c r="AA28" s="30">
        <f t="shared" si="14"/>
        <v>1</v>
      </c>
      <c r="AB28" s="30">
        <f t="shared" si="15"/>
        <v>1.1338769991769502</v>
      </c>
      <c r="AC28" s="30">
        <f t="shared" si="16"/>
        <v>1.1106942053226985</v>
      </c>
      <c r="AD28" s="30">
        <f t="shared" si="17"/>
        <v>1.135156717500041</v>
      </c>
      <c r="AE28" s="30">
        <f t="shared" si="18"/>
        <v>1.0728761393598159</v>
      </c>
      <c r="AF28" s="30">
        <f t="shared" si="19"/>
        <v>1.059300014908948</v>
      </c>
      <c r="AG28" s="30">
        <f t="shared" si="20"/>
        <v>0.99781471655648801</v>
      </c>
      <c r="AH28" s="30">
        <f t="shared" si="21"/>
        <v>1.0208668018683185</v>
      </c>
      <c r="AI28" s="30">
        <f t="shared" si="22"/>
        <v>0.93221679645616851</v>
      </c>
      <c r="AJ28" s="30">
        <f t="shared" si="23"/>
        <v>0.88736027971628151</v>
      </c>
    </row>
    <row r="29" spans="1:36" x14ac:dyDescent="0.25">
      <c r="A29" s="30"/>
      <c r="B29" s="30" t="s">
        <v>813</v>
      </c>
      <c r="C29" s="30">
        <v>11</v>
      </c>
      <c r="D29" s="30">
        <v>-79.94</v>
      </c>
      <c r="E29" s="30">
        <v>0.174878314137459</v>
      </c>
      <c r="F29" s="30">
        <v>1.3556725978851301</v>
      </c>
      <c r="G29" s="30">
        <v>4.4762268066406197</v>
      </c>
      <c r="H29" s="30">
        <v>17.279689788818299</v>
      </c>
      <c r="I29" s="30">
        <v>1.11699926853179</v>
      </c>
      <c r="J29" s="30">
        <v>6.21355772018432</v>
      </c>
      <c r="K29" s="30">
        <f t="shared" si="12"/>
        <v>20.892570887997636</v>
      </c>
      <c r="L29" s="30">
        <f t="shared" si="13"/>
        <v>119.46919199813146</v>
      </c>
      <c r="M29" s="30"/>
      <c r="N29" s="30"/>
      <c r="O29" s="30"/>
      <c r="P29" s="30">
        <v>16.290378570556602</v>
      </c>
      <c r="Q29" s="30">
        <v>17.21435546875</v>
      </c>
      <c r="R29" s="30">
        <v>18.160198211669901</v>
      </c>
      <c r="S29" s="30">
        <v>18.520328521728501</v>
      </c>
      <c r="T29" s="30">
        <v>16.919795989990199</v>
      </c>
      <c r="U29" s="30">
        <v>17.545604705810501</v>
      </c>
      <c r="V29" s="30">
        <v>17.860973358154201</v>
      </c>
      <c r="W29" s="30">
        <v>16.314956665038999</v>
      </c>
      <c r="X29" s="30">
        <v>15.9971160888671</v>
      </c>
      <c r="Y29" s="30">
        <v>15.2227058410644</v>
      </c>
      <c r="Z29" s="30"/>
      <c r="AA29" s="30">
        <f t="shared" si="14"/>
        <v>1</v>
      </c>
      <c r="AB29" s="30">
        <f t="shared" si="15"/>
        <v>1.0567191790044341</v>
      </c>
      <c r="AC29" s="30">
        <f t="shared" si="16"/>
        <v>1.1147806131708216</v>
      </c>
      <c r="AD29" s="30">
        <f t="shared" si="17"/>
        <v>1.1368875463215038</v>
      </c>
      <c r="AE29" s="30">
        <f t="shared" si="18"/>
        <v>1.0386373721585092</v>
      </c>
      <c r="AF29" s="30">
        <f t="shared" si="19"/>
        <v>1.0770532206981738</v>
      </c>
      <c r="AG29" s="30">
        <f t="shared" si="20"/>
        <v>1.0964124179677635</v>
      </c>
      <c r="AH29" s="30">
        <f t="shared" si="21"/>
        <v>1.0015087491291834</v>
      </c>
      <c r="AI29" s="30">
        <f t="shared" si="22"/>
        <v>0.9819978105223689</v>
      </c>
      <c r="AJ29" s="30">
        <f t="shared" si="23"/>
        <v>0.93445991909470261</v>
      </c>
    </row>
    <row r="31" spans="1:36" x14ac:dyDescent="0.25">
      <c r="A31" s="32"/>
      <c r="B31" s="32" t="s">
        <v>814</v>
      </c>
      <c r="C31" s="32">
        <v>1</v>
      </c>
      <c r="D31" s="32">
        <v>-71.7</v>
      </c>
      <c r="E31" s="32">
        <v>0.57722157239913896</v>
      </c>
      <c r="F31" s="32">
        <v>0.83312332630157504</v>
      </c>
      <c r="G31" s="32">
        <v>4.6992712020873997</v>
      </c>
      <c r="H31" s="32">
        <v>33.4462890625</v>
      </c>
      <c r="I31" s="32">
        <v>0.91256350278854403</v>
      </c>
      <c r="J31" s="32">
        <v>5.3750810623168901</v>
      </c>
      <c r="K31" s="32">
        <f t="shared" ref="K31:K44" si="24">H31/(1-(0.8*(H31/(ABS(D31)))))</f>
        <v>53.35871199610618</v>
      </c>
      <c r="L31" s="32">
        <f t="shared" ref="L31:L44" si="25">K31/E31</f>
        <v>92.440606081869603</v>
      </c>
      <c r="M31" s="32" t="s">
        <v>815</v>
      </c>
      <c r="N31" s="32"/>
      <c r="O31" s="32"/>
      <c r="P31" s="32">
        <v>33.696979522705</v>
      </c>
      <c r="Q31" s="32">
        <v>34.338203430175703</v>
      </c>
      <c r="R31" s="32">
        <v>35.417041778564403</v>
      </c>
      <c r="S31" s="32">
        <v>34.485710144042898</v>
      </c>
      <c r="T31" s="32">
        <v>34.009033203125</v>
      </c>
      <c r="U31" s="32">
        <v>33.999015808105398</v>
      </c>
      <c r="V31" s="32">
        <v>32.204925537109297</v>
      </c>
      <c r="W31" s="32">
        <v>32.083415985107401</v>
      </c>
      <c r="X31" s="32">
        <v>32.124126434326101</v>
      </c>
      <c r="Y31" s="32">
        <v>31.731613159179599</v>
      </c>
      <c r="Z31" s="32"/>
      <c r="AA31" s="32">
        <f>P31/P31</f>
        <v>1</v>
      </c>
      <c r="AB31" s="32">
        <f>Q31/P31</f>
        <v>1.0190291212017577</v>
      </c>
      <c r="AC31" s="32">
        <f>R31/P31</f>
        <v>1.0510449981043679</v>
      </c>
      <c r="AD31" s="32">
        <f>S31/P31</f>
        <v>1.0234065673692341</v>
      </c>
      <c r="AE31" s="32">
        <f>T31/P31</f>
        <v>1.009260583139499</v>
      </c>
      <c r="AF31" s="32">
        <f>U31/P31</f>
        <v>1.0089633044171478</v>
      </c>
      <c r="AG31" s="32">
        <f>V31/P31</f>
        <v>0.95572143240344853</v>
      </c>
      <c r="AH31" s="32">
        <f>W31/P31</f>
        <v>0.95211548451960271</v>
      </c>
      <c r="AI31" s="32">
        <f>X31/P31</f>
        <v>0.95332361800204934</v>
      </c>
      <c r="AJ31" s="32">
        <f>Y31/P31</f>
        <v>0.94167529578723397</v>
      </c>
    </row>
    <row r="32" spans="1:36" x14ac:dyDescent="0.25">
      <c r="A32" s="30"/>
      <c r="B32" s="30" t="s">
        <v>816</v>
      </c>
      <c r="C32" s="30">
        <v>2</v>
      </c>
      <c r="D32" s="30">
        <v>-71.75</v>
      </c>
      <c r="E32" s="30">
        <v>0.18219877779483801</v>
      </c>
      <c r="F32" s="30">
        <v>0.78745728731155396</v>
      </c>
      <c r="G32" s="30">
        <v>3.3875546455383301</v>
      </c>
      <c r="H32" s="30">
        <v>17.2168464660644</v>
      </c>
      <c r="I32" s="30">
        <v>0.90212666988372803</v>
      </c>
      <c r="J32" s="30">
        <v>4.0873141288757298</v>
      </c>
      <c r="K32" s="30">
        <f t="shared" si="24"/>
        <v>21.307051090716097</v>
      </c>
      <c r="L32" s="30">
        <f t="shared" si="25"/>
        <v>116.94398474345726</v>
      </c>
      <c r="M32" s="30" t="s">
        <v>817</v>
      </c>
      <c r="N32" s="30"/>
      <c r="O32" s="30"/>
      <c r="P32" s="30">
        <v>17.350814819335898</v>
      </c>
      <c r="Q32" s="30">
        <v>19.399681091308501</v>
      </c>
      <c r="R32" s="30">
        <v>19.4825325012207</v>
      </c>
      <c r="S32" s="30">
        <v>18.711299896240199</v>
      </c>
      <c r="T32" s="30">
        <v>18.4945983886718</v>
      </c>
      <c r="U32" s="30">
        <v>17.721572875976499</v>
      </c>
      <c r="V32" s="30">
        <v>17.029216766357401</v>
      </c>
      <c r="W32" s="30">
        <v>15.9677124023437</v>
      </c>
      <c r="X32" s="30">
        <v>16.015113830566399</v>
      </c>
      <c r="Y32" s="30">
        <v>14.053398132324199</v>
      </c>
      <c r="Z32" s="30"/>
      <c r="AA32" s="30">
        <f t="shared" ref="AA32:AA44" si="26">P32/P32</f>
        <v>1</v>
      </c>
      <c r="AB32" s="30">
        <f t="shared" ref="AB32:AB44" si="27">Q32/P32</f>
        <v>1.1180847293516918</v>
      </c>
      <c r="AC32" s="30">
        <f t="shared" ref="AC32:AC44" si="28">R32/P32</f>
        <v>1.1228598024981049</v>
      </c>
      <c r="AD32" s="30">
        <f t="shared" ref="AD32:AD44" si="29">S32/P32</f>
        <v>1.0784104430293477</v>
      </c>
      <c r="AE32" s="30">
        <f t="shared" ref="AE32:AE44" si="30">T32/P32</f>
        <v>1.0659210291415975</v>
      </c>
      <c r="AF32" s="30">
        <f t="shared" ref="AF32:AF44" si="31">U32/P32</f>
        <v>1.0213683369052746</v>
      </c>
      <c r="AG32" s="30">
        <f t="shared" ref="AG32:AG44" si="32">V32/P32</f>
        <v>0.98146495963866165</v>
      </c>
      <c r="AH32" s="30">
        <f t="shared" ref="AH32:AH44" si="33">W32/P32</f>
        <v>0.92028602510062774</v>
      </c>
      <c r="AI32" s="30">
        <f t="shared" ref="AI32:AI44" si="34">X32/P32</f>
        <v>0.92301796758956922</v>
      </c>
      <c r="AJ32" s="30">
        <f t="shared" ref="AJ32:AJ44" si="35">Y32/P32</f>
        <v>0.80995609016949277</v>
      </c>
    </row>
    <row r="33" spans="1:36" x14ac:dyDescent="0.25">
      <c r="A33" s="30"/>
      <c r="B33" s="30" t="s">
        <v>818</v>
      </c>
      <c r="C33" s="30">
        <v>3</v>
      </c>
      <c r="D33" s="30">
        <v>-69.569999999999993</v>
      </c>
      <c r="E33" s="30">
        <v>0.192916989326477</v>
      </c>
      <c r="F33" s="30">
        <v>0.75012433528900102</v>
      </c>
      <c r="G33" s="30">
        <v>3.3512806892395002</v>
      </c>
      <c r="H33" s="30">
        <v>18.193107604980401</v>
      </c>
      <c r="I33" s="30">
        <v>0.888025343418121</v>
      </c>
      <c r="J33" s="30">
        <v>4.2416996955871502</v>
      </c>
      <c r="K33" s="30">
        <f t="shared" si="24"/>
        <v>23.006137832514689</v>
      </c>
      <c r="L33" s="30">
        <f t="shared" si="25"/>
        <v>119.25407872492234</v>
      </c>
      <c r="M33" s="30" t="s">
        <v>819</v>
      </c>
      <c r="N33" s="30"/>
      <c r="O33" s="30"/>
      <c r="P33" s="30">
        <v>17.426185607910099</v>
      </c>
      <c r="Q33" s="30">
        <v>19.8908386230468</v>
      </c>
      <c r="R33" s="30">
        <v>21.213607788085898</v>
      </c>
      <c r="S33" s="30">
        <v>20.646450042724599</v>
      </c>
      <c r="T33" s="30">
        <v>19.865657806396399</v>
      </c>
      <c r="U33" s="30">
        <v>19.78466796875</v>
      </c>
      <c r="V33" s="30">
        <v>18.223159790038999</v>
      </c>
      <c r="W33" s="30">
        <v>17.729751586913999</v>
      </c>
      <c r="X33" s="30">
        <v>17.179710388183501</v>
      </c>
      <c r="Y33" s="30">
        <v>15.3928451538085</v>
      </c>
      <c r="Z33" s="30"/>
      <c r="AA33" s="30">
        <f t="shared" si="26"/>
        <v>1</v>
      </c>
      <c r="AB33" s="30">
        <f t="shared" si="27"/>
        <v>1.1414338783364011</v>
      </c>
      <c r="AC33" s="30">
        <f t="shared" si="28"/>
        <v>1.2173408607823282</v>
      </c>
      <c r="AD33" s="30">
        <f t="shared" si="29"/>
        <v>1.1847945676277405</v>
      </c>
      <c r="AE33" s="30">
        <f t="shared" si="30"/>
        <v>1.1399888795732196</v>
      </c>
      <c r="AF33" s="30">
        <f t="shared" si="31"/>
        <v>1.1353412854600458</v>
      </c>
      <c r="AG33" s="30">
        <f t="shared" si="32"/>
        <v>1.0457342874717883</v>
      </c>
      <c r="AH33" s="30">
        <f t="shared" si="33"/>
        <v>1.0174201047684299</v>
      </c>
      <c r="AI33" s="30">
        <f t="shared" si="34"/>
        <v>0.98585604301065644</v>
      </c>
      <c r="AJ33" s="30">
        <f t="shared" si="35"/>
        <v>0.88331695186474857</v>
      </c>
    </row>
    <row r="34" spans="1:36" x14ac:dyDescent="0.25">
      <c r="A34" s="32"/>
      <c r="B34" s="32" t="s">
        <v>820</v>
      </c>
      <c r="C34" s="32">
        <v>4</v>
      </c>
      <c r="D34" s="32">
        <v>-77.89</v>
      </c>
      <c r="E34" s="32">
        <v>0.91107439994812001</v>
      </c>
      <c r="F34" s="32">
        <v>0.78680491447448697</v>
      </c>
      <c r="G34" s="32">
        <v>5.5002250671386701</v>
      </c>
      <c r="H34" s="32">
        <v>37.057819366455</v>
      </c>
      <c r="I34" s="32">
        <v>0.89253294467926003</v>
      </c>
      <c r="J34" s="32">
        <v>6.40663337707519</v>
      </c>
      <c r="K34" s="32">
        <f t="shared" si="24"/>
        <v>59.830213843458623</v>
      </c>
      <c r="L34" s="32">
        <f t="shared" si="25"/>
        <v>65.669953899336406</v>
      </c>
      <c r="M34" s="32" t="s">
        <v>815</v>
      </c>
      <c r="N34" s="32"/>
      <c r="O34" s="32"/>
      <c r="P34" s="32">
        <v>35.958499908447202</v>
      </c>
      <c r="Q34" s="32">
        <v>38.388519287109297</v>
      </c>
      <c r="R34" s="32">
        <v>37.763484954833899</v>
      </c>
      <c r="S34" s="32">
        <v>40.135746002197202</v>
      </c>
      <c r="T34" s="32">
        <v>40.6544380187988</v>
      </c>
      <c r="U34" s="32">
        <v>40.454532623291001</v>
      </c>
      <c r="V34" s="32">
        <v>38.391399383544901</v>
      </c>
      <c r="W34" s="32">
        <v>38.098846435546797</v>
      </c>
      <c r="X34" s="32">
        <v>36.523429870605398</v>
      </c>
      <c r="Y34" s="32">
        <v>33.532108306884702</v>
      </c>
      <c r="Z34" s="32"/>
      <c r="AA34" s="32">
        <f t="shared" si="26"/>
        <v>1</v>
      </c>
      <c r="AB34" s="32">
        <f t="shared" si="27"/>
        <v>1.0675784413935256</v>
      </c>
      <c r="AC34" s="32">
        <f t="shared" si="28"/>
        <v>1.0501963388623639</v>
      </c>
      <c r="AD34" s="32">
        <f t="shared" si="29"/>
        <v>1.1161685305111602</v>
      </c>
      <c r="AE34" s="32">
        <f t="shared" si="30"/>
        <v>1.1305932706399815</v>
      </c>
      <c r="AF34" s="32">
        <f t="shared" si="31"/>
        <v>1.1250339342934497</v>
      </c>
      <c r="AG34" s="32">
        <f t="shared" si="32"/>
        <v>1.0676585364042446</v>
      </c>
      <c r="AH34" s="32">
        <f t="shared" si="33"/>
        <v>1.0595226867791778</v>
      </c>
      <c r="AI34" s="32">
        <f t="shared" si="34"/>
        <v>1.0157106098306812</v>
      </c>
      <c r="AJ34" s="32">
        <f t="shared" si="35"/>
        <v>0.93252244649414573</v>
      </c>
    </row>
    <row r="35" spans="1:36" x14ac:dyDescent="0.25">
      <c r="A35" s="30"/>
      <c r="B35" s="30" t="s">
        <v>821</v>
      </c>
      <c r="C35" s="30">
        <v>5</v>
      </c>
      <c r="D35" s="30">
        <v>-64.52</v>
      </c>
      <c r="E35" s="30">
        <v>0.174101397395134</v>
      </c>
      <c r="F35" s="30">
        <v>0.86376023292541504</v>
      </c>
      <c r="G35" s="30">
        <v>4.2610664367675701</v>
      </c>
      <c r="H35" s="30">
        <v>17.083053588867099</v>
      </c>
      <c r="I35" s="30">
        <v>0.97941660881042503</v>
      </c>
      <c r="J35" s="30">
        <v>4.5441794395446697</v>
      </c>
      <c r="K35" s="30">
        <f t="shared" si="24"/>
        <v>21.673972869976296</v>
      </c>
      <c r="L35" s="30">
        <f t="shared" si="25"/>
        <v>124.49051641317881</v>
      </c>
      <c r="M35" s="30"/>
      <c r="N35" s="30"/>
      <c r="O35" s="30"/>
      <c r="P35" s="30">
        <v>17.4306106567382</v>
      </c>
      <c r="Q35" s="30">
        <v>19.060482025146399</v>
      </c>
      <c r="R35" s="30">
        <v>19.271999359130799</v>
      </c>
      <c r="S35" s="30">
        <v>19.549709320068299</v>
      </c>
      <c r="T35" s="30">
        <v>18.241798400878899</v>
      </c>
      <c r="U35" s="30">
        <v>17.221012115478501</v>
      </c>
      <c r="V35" s="30">
        <v>16.261592864990199</v>
      </c>
      <c r="W35" s="30">
        <v>15.7960548400878</v>
      </c>
      <c r="X35" s="30">
        <v>13.3916206359863</v>
      </c>
      <c r="Y35" s="30">
        <v>13.739479064941399</v>
      </c>
      <c r="Z35" s="30"/>
      <c r="AA35" s="30">
        <f t="shared" si="26"/>
        <v>1</v>
      </c>
      <c r="AB35" s="30">
        <f t="shared" si="27"/>
        <v>1.0935062689716</v>
      </c>
      <c r="AC35" s="30">
        <f t="shared" si="28"/>
        <v>1.105641089612702</v>
      </c>
      <c r="AD35" s="30">
        <f t="shared" si="29"/>
        <v>1.1215734035405647</v>
      </c>
      <c r="AE35" s="30">
        <f t="shared" si="30"/>
        <v>1.046538113902918</v>
      </c>
      <c r="AF35" s="30">
        <f t="shared" si="31"/>
        <v>0.98797526114332246</v>
      </c>
      <c r="AG35" s="30">
        <f t="shared" si="32"/>
        <v>0.93293305583094477</v>
      </c>
      <c r="AH35" s="30">
        <f t="shared" si="33"/>
        <v>0.90622498265609963</v>
      </c>
      <c r="AI35" s="30">
        <f t="shared" si="34"/>
        <v>0.7682817831060591</v>
      </c>
      <c r="AJ35" s="30">
        <f t="shared" si="35"/>
        <v>0.7882385382539705</v>
      </c>
    </row>
    <row r="36" spans="1:36" x14ac:dyDescent="0.25">
      <c r="A36" s="30"/>
      <c r="B36" s="30" t="s">
        <v>822</v>
      </c>
      <c r="C36" s="30">
        <v>6</v>
      </c>
      <c r="D36" s="30">
        <v>-65</v>
      </c>
      <c r="E36" s="30">
        <v>0.16767492890357999</v>
      </c>
      <c r="F36" s="30">
        <v>0.81768798828125</v>
      </c>
      <c r="G36" s="30">
        <v>3.6862292289733798</v>
      </c>
      <c r="H36" s="30">
        <v>16.996627807617099</v>
      </c>
      <c r="I36" s="30">
        <v>0.92241704463958696</v>
      </c>
      <c r="J36" s="30">
        <v>4.2952747344970703</v>
      </c>
      <c r="K36" s="30">
        <f t="shared" si="24"/>
        <v>21.492661976309488</v>
      </c>
      <c r="L36" s="30">
        <f t="shared" si="25"/>
        <v>128.18053430437806</v>
      </c>
      <c r="M36" s="30"/>
      <c r="N36" s="30"/>
      <c r="O36" s="30"/>
      <c r="P36" s="30">
        <v>17.710617065429599</v>
      </c>
      <c r="Q36" s="30">
        <v>18.1136054992675</v>
      </c>
      <c r="R36" s="30">
        <v>18.3727493286132</v>
      </c>
      <c r="S36" s="30">
        <v>19.010299682617099</v>
      </c>
      <c r="T36" s="30">
        <v>18.412712097167901</v>
      </c>
      <c r="U36" s="30">
        <v>17.301490783691399</v>
      </c>
      <c r="V36" s="30">
        <v>16.375167846679599</v>
      </c>
      <c r="W36" s="30">
        <v>16.255409240722599</v>
      </c>
      <c r="X36" s="30">
        <v>15.3919258117675</v>
      </c>
      <c r="Y36" s="30">
        <v>13.957511901855399</v>
      </c>
      <c r="Z36" s="30"/>
      <c r="AA36" s="30">
        <f t="shared" si="26"/>
        <v>1</v>
      </c>
      <c r="AB36" s="30">
        <f t="shared" si="27"/>
        <v>1.0227540594632649</v>
      </c>
      <c r="AC36" s="30">
        <f t="shared" si="28"/>
        <v>1.0373861769320312</v>
      </c>
      <c r="AD36" s="30">
        <f t="shared" si="29"/>
        <v>1.0733843779912349</v>
      </c>
      <c r="AE36" s="30">
        <f t="shared" si="30"/>
        <v>1.0396426069822695</v>
      </c>
      <c r="AF36" s="30">
        <f t="shared" si="31"/>
        <v>0.97689937734937549</v>
      </c>
      <c r="AG36" s="30">
        <f t="shared" si="32"/>
        <v>0.92459612142161085</v>
      </c>
      <c r="AH36" s="30">
        <f t="shared" si="33"/>
        <v>0.91783415454521311</v>
      </c>
      <c r="AI36" s="30">
        <f t="shared" si="34"/>
        <v>0.86907902502233592</v>
      </c>
      <c r="AJ36" s="30">
        <f t="shared" si="35"/>
        <v>0.78808727275233637</v>
      </c>
    </row>
    <row r="37" spans="1:36" x14ac:dyDescent="0.25">
      <c r="A37" s="30"/>
      <c r="B37" s="30" t="s">
        <v>823</v>
      </c>
      <c r="C37" s="30">
        <v>7</v>
      </c>
      <c r="D37" s="30">
        <v>-68.010000000000005</v>
      </c>
      <c r="E37" s="30">
        <v>0.12061811983585401</v>
      </c>
      <c r="F37" s="30">
        <v>1.1069154739379801</v>
      </c>
      <c r="G37" s="30">
        <v>2.6368148326873699</v>
      </c>
      <c r="H37" s="30">
        <v>10.188610076904199</v>
      </c>
      <c r="I37" s="30">
        <v>1.0174032449722199</v>
      </c>
      <c r="J37" s="30">
        <v>4.3714914321899396</v>
      </c>
      <c r="K37" s="30">
        <f t="shared" si="24"/>
        <v>11.575971458488178</v>
      </c>
      <c r="L37" s="30">
        <f t="shared" si="25"/>
        <v>95.97207678449648</v>
      </c>
      <c r="M37" s="30" t="s">
        <v>824</v>
      </c>
      <c r="N37" s="30"/>
      <c r="O37" s="30"/>
      <c r="P37" s="30">
        <v>9.2336006164550692</v>
      </c>
      <c r="Q37" s="30">
        <v>10.8216247558593</v>
      </c>
      <c r="R37" s="30">
        <v>11.586833953857401</v>
      </c>
      <c r="S37" s="30">
        <v>11.3074836730957</v>
      </c>
      <c r="T37" s="30">
        <v>10.9256629943847</v>
      </c>
      <c r="U37" s="30">
        <v>10.861335754394499</v>
      </c>
      <c r="V37" s="30">
        <v>10.148204803466699</v>
      </c>
      <c r="W37" s="30">
        <v>9.7980041503906197</v>
      </c>
      <c r="X37" s="30">
        <v>9.7675437927246005</v>
      </c>
      <c r="Y37" s="30">
        <v>9.1425018310546804</v>
      </c>
      <c r="Z37" s="30"/>
      <c r="AA37" s="30">
        <f t="shared" si="26"/>
        <v>1</v>
      </c>
      <c r="AB37" s="30">
        <f t="shared" si="27"/>
        <v>1.1719831954367006</v>
      </c>
      <c r="AC37" s="30">
        <f t="shared" si="28"/>
        <v>1.2548554388640838</v>
      </c>
      <c r="AD37" s="30">
        <f t="shared" si="29"/>
        <v>1.2246017715932822</v>
      </c>
      <c r="AE37" s="30">
        <f t="shared" si="30"/>
        <v>1.1832505485362048</v>
      </c>
      <c r="AF37" s="30">
        <f t="shared" si="31"/>
        <v>1.1762839011077288</v>
      </c>
      <c r="AG37" s="30">
        <f t="shared" si="32"/>
        <v>1.0990517377784055</v>
      </c>
      <c r="AH37" s="30">
        <f t="shared" si="33"/>
        <v>1.061124967104353</v>
      </c>
      <c r="AI37" s="30">
        <f t="shared" si="34"/>
        <v>1.0578261068946386</v>
      </c>
      <c r="AJ37" s="30">
        <f t="shared" si="35"/>
        <v>0.99013399114988332</v>
      </c>
    </row>
    <row r="38" spans="1:36" x14ac:dyDescent="0.25">
      <c r="A38" s="30"/>
      <c r="B38" s="30" t="s">
        <v>825</v>
      </c>
      <c r="C38" s="30">
        <v>8</v>
      </c>
      <c r="D38" s="30">
        <v>-67.790000000000006</v>
      </c>
      <c r="E38" s="30">
        <v>0.274430602788925</v>
      </c>
      <c r="F38" s="30">
        <v>0.68605923652648904</v>
      </c>
      <c r="G38" s="30">
        <v>3.5663707256317099</v>
      </c>
      <c r="H38" s="30">
        <v>25.514720916748001</v>
      </c>
      <c r="I38" s="30">
        <v>0.85535567998886097</v>
      </c>
      <c r="J38" s="30">
        <v>4.2233657836914</v>
      </c>
      <c r="K38" s="30">
        <f t="shared" si="24"/>
        <v>36.507129471983106</v>
      </c>
      <c r="L38" s="30">
        <f t="shared" si="25"/>
        <v>133.02863857374581</v>
      </c>
      <c r="M38" s="30"/>
      <c r="N38" s="30"/>
      <c r="O38" s="30"/>
      <c r="P38" s="30">
        <v>24.280075073242099</v>
      </c>
      <c r="Q38" s="30">
        <v>27.1184272766113</v>
      </c>
      <c r="R38" s="30">
        <v>26.493644714355401</v>
      </c>
      <c r="S38" s="30">
        <v>27.446048736572202</v>
      </c>
      <c r="T38" s="30">
        <v>26.560447692871001</v>
      </c>
      <c r="U38" s="30">
        <v>25.461166381835898</v>
      </c>
      <c r="V38" s="30">
        <v>24.168685913085898</v>
      </c>
      <c r="W38" s="30">
        <v>23.230552673339801</v>
      </c>
      <c r="X38" s="30">
        <v>22.733772277831999</v>
      </c>
      <c r="Y38" s="30">
        <v>21.912471771240199</v>
      </c>
      <c r="Z38" s="30"/>
      <c r="AA38" s="30">
        <f t="shared" si="26"/>
        <v>1</v>
      </c>
      <c r="AB38" s="30">
        <f t="shared" si="27"/>
        <v>1.1169004706454639</v>
      </c>
      <c r="AC38" s="30">
        <f t="shared" si="28"/>
        <v>1.0911681547291743</v>
      </c>
      <c r="AD38" s="30">
        <f t="shared" si="29"/>
        <v>1.1303938992684239</v>
      </c>
      <c r="AE38" s="30">
        <f t="shared" si="30"/>
        <v>1.0939195044805274</v>
      </c>
      <c r="AF38" s="30">
        <f t="shared" si="31"/>
        <v>1.0486444669149901</v>
      </c>
      <c r="AG38" s="30">
        <f t="shared" si="32"/>
        <v>0.99541232225105614</v>
      </c>
      <c r="AH38" s="30">
        <f t="shared" si="33"/>
        <v>0.95677433464532713</v>
      </c>
      <c r="AI38" s="30">
        <f t="shared" si="34"/>
        <v>0.93631392033403538</v>
      </c>
      <c r="AJ38" s="30">
        <f t="shared" si="35"/>
        <v>0.90248780966039432</v>
      </c>
    </row>
    <row r="39" spans="1:36" x14ac:dyDescent="0.25">
      <c r="A39" s="30"/>
      <c r="B39" s="30" t="s">
        <v>826</v>
      </c>
      <c r="C39" s="30">
        <v>9</v>
      </c>
      <c r="D39" s="30">
        <v>-74.38</v>
      </c>
      <c r="E39" s="30">
        <v>0.30855783820152299</v>
      </c>
      <c r="F39" s="30">
        <v>0.97431623935699496</v>
      </c>
      <c r="G39" s="30">
        <v>4.7881007194518999</v>
      </c>
      <c r="H39" s="30">
        <v>21.118904113769499</v>
      </c>
      <c r="I39" s="30">
        <v>1.18110132217407</v>
      </c>
      <c r="J39" s="30">
        <v>5.4139847755432102</v>
      </c>
      <c r="K39" s="30">
        <f t="shared" si="24"/>
        <v>27.325866869897435</v>
      </c>
      <c r="L39" s="30">
        <f t="shared" si="25"/>
        <v>88.559950475315972</v>
      </c>
      <c r="M39" s="30"/>
      <c r="N39" s="30"/>
      <c r="O39" s="30"/>
      <c r="P39" s="30">
        <v>20.365612030029201</v>
      </c>
      <c r="Q39" s="30">
        <v>22.565717697143501</v>
      </c>
      <c r="R39" s="30">
        <v>22.712617874145501</v>
      </c>
      <c r="S39" s="30">
        <v>23.273380279541001</v>
      </c>
      <c r="T39" s="30">
        <v>21.769628524780199</v>
      </c>
      <c r="U39" s="30">
        <v>20.6392707824707</v>
      </c>
      <c r="V39" s="30">
        <v>19.8707981109619</v>
      </c>
      <c r="W39" s="30">
        <v>20.043573379516602</v>
      </c>
      <c r="X39" s="30">
        <v>18.4732761383056</v>
      </c>
      <c r="Y39" s="30">
        <v>18.3683776855468</v>
      </c>
      <c r="Z39" s="30"/>
      <c r="AA39" s="30">
        <f t="shared" si="26"/>
        <v>1</v>
      </c>
      <c r="AB39" s="30">
        <f t="shared" si="27"/>
        <v>1.108030422256411</v>
      </c>
      <c r="AC39" s="30">
        <f t="shared" si="28"/>
        <v>1.1152435704193731</v>
      </c>
      <c r="AD39" s="30">
        <f t="shared" si="29"/>
        <v>1.1427783385652384</v>
      </c>
      <c r="AE39" s="30">
        <f t="shared" si="30"/>
        <v>1.0689405500154263</v>
      </c>
      <c r="AF39" s="30">
        <f t="shared" si="31"/>
        <v>1.0134372957727953</v>
      </c>
      <c r="AG39" s="30">
        <f t="shared" si="32"/>
        <v>0.97570345942279091</v>
      </c>
      <c r="AH39" s="30">
        <f t="shared" si="33"/>
        <v>0.98418713613724196</v>
      </c>
      <c r="AI39" s="30">
        <f t="shared" si="34"/>
        <v>0.90708180589253384</v>
      </c>
      <c r="AJ39" s="30">
        <f t="shared" si="35"/>
        <v>0.90193104231105514</v>
      </c>
    </row>
    <row r="40" spans="1:36" x14ac:dyDescent="0.25">
      <c r="A40" s="30"/>
      <c r="B40" s="30" t="s">
        <v>827</v>
      </c>
      <c r="C40" s="30">
        <v>10</v>
      </c>
      <c r="D40" s="30">
        <v>-72.56</v>
      </c>
      <c r="E40" s="30">
        <v>0.163030549883842</v>
      </c>
      <c r="F40" s="30">
        <v>0.86690342426300004</v>
      </c>
      <c r="G40" s="30">
        <v>3.93143463134765</v>
      </c>
      <c r="H40" s="30">
        <v>15.752620697021401</v>
      </c>
      <c r="I40" s="30">
        <v>0.90129441022872903</v>
      </c>
      <c r="J40" s="30">
        <v>4.1425590515136701</v>
      </c>
      <c r="K40" s="30">
        <f t="shared" si="24"/>
        <v>19.063544456224349</v>
      </c>
      <c r="L40" s="30">
        <f t="shared" si="25"/>
        <v>116.93234470353548</v>
      </c>
      <c r="M40" s="30"/>
      <c r="N40" s="30"/>
      <c r="O40" s="30"/>
      <c r="P40" s="30">
        <v>15.491039276123001</v>
      </c>
      <c r="Q40" s="30">
        <v>17.118328094482401</v>
      </c>
      <c r="R40" s="30">
        <v>18.292381286621001</v>
      </c>
      <c r="S40" s="30">
        <v>18.0359191894531</v>
      </c>
      <c r="T40" s="30">
        <v>16.6227493286132</v>
      </c>
      <c r="U40" s="30">
        <v>16.199092864990199</v>
      </c>
      <c r="V40" s="30">
        <v>16.216468811035099</v>
      </c>
      <c r="W40" s="30">
        <v>14.8027648925781</v>
      </c>
      <c r="X40" s="30">
        <v>14.4222297668457</v>
      </c>
      <c r="Y40" s="30">
        <v>13.5301704406738</v>
      </c>
      <c r="Z40" s="30"/>
      <c r="AA40" s="30">
        <f t="shared" si="26"/>
        <v>1</v>
      </c>
      <c r="AB40" s="30">
        <f t="shared" si="27"/>
        <v>1.1050471042874193</v>
      </c>
      <c r="AC40" s="30">
        <f t="shared" si="28"/>
        <v>1.1808362860983659</v>
      </c>
      <c r="AD40" s="30">
        <f t="shared" si="29"/>
        <v>1.1642807734179998</v>
      </c>
      <c r="AE40" s="30">
        <f t="shared" si="30"/>
        <v>1.073055786143061</v>
      </c>
      <c r="AF40" s="30">
        <f t="shared" si="31"/>
        <v>1.0457073006043276</v>
      </c>
      <c r="AG40" s="30">
        <f t="shared" si="32"/>
        <v>1.0468289778356081</v>
      </c>
      <c r="AH40" s="30">
        <f t="shared" si="33"/>
        <v>0.95556951529999878</v>
      </c>
      <c r="AI40" s="30">
        <f t="shared" si="34"/>
        <v>0.93100466080899413</v>
      </c>
      <c r="AJ40" s="30">
        <f t="shared" si="35"/>
        <v>0.87341915539058945</v>
      </c>
    </row>
    <row r="41" spans="1:36" x14ac:dyDescent="0.25">
      <c r="A41" s="30" t="s">
        <v>828</v>
      </c>
      <c r="B41" s="30" t="s">
        <v>829</v>
      </c>
      <c r="C41" s="30">
        <v>11</v>
      </c>
      <c r="D41" s="30">
        <v>-78.900000000000006</v>
      </c>
      <c r="E41" s="30">
        <v>0.252151489257813</v>
      </c>
      <c r="F41" s="30">
        <v>0.86116033792495705</v>
      </c>
      <c r="G41" s="30">
        <v>4.5462536811828604</v>
      </c>
      <c r="H41" s="30">
        <v>21.0692138671875</v>
      </c>
      <c r="I41" s="30">
        <v>0.89953464269638095</v>
      </c>
      <c r="J41" s="30">
        <v>3.90125083923339</v>
      </c>
      <c r="K41" s="30">
        <f t="shared" si="24"/>
        <v>26.79298761916904</v>
      </c>
      <c r="L41" s="30">
        <f t="shared" si="25"/>
        <v>106.25750297185226</v>
      </c>
      <c r="M41" s="30"/>
      <c r="N41" s="30"/>
      <c r="O41" s="30"/>
      <c r="P41" s="30">
        <v>20.510898590087798</v>
      </c>
      <c r="Q41" s="30">
        <v>22.875755310058501</v>
      </c>
      <c r="R41" s="30">
        <v>23.3836250305175</v>
      </c>
      <c r="S41" s="30">
        <v>23.691555023193299</v>
      </c>
      <c r="T41" s="30">
        <v>21.609142303466701</v>
      </c>
      <c r="U41" s="30">
        <v>20.821159362792901</v>
      </c>
      <c r="V41" s="30">
        <v>19.1212348937988</v>
      </c>
      <c r="W41" s="30">
        <v>19.420875549316399</v>
      </c>
      <c r="X41" s="30">
        <v>17.537528991699201</v>
      </c>
      <c r="Y41" s="30">
        <v>17.764095306396399</v>
      </c>
      <c r="Z41" s="30"/>
      <c r="AA41" s="30">
        <f t="shared" si="26"/>
        <v>1</v>
      </c>
      <c r="AB41" s="30">
        <f t="shared" si="27"/>
        <v>1.1152975677581263</v>
      </c>
      <c r="AC41" s="30">
        <f t="shared" si="28"/>
        <v>1.1400585365781093</v>
      </c>
      <c r="AD41" s="30">
        <f t="shared" si="29"/>
        <v>1.1550715303444872</v>
      </c>
      <c r="AE41" s="30">
        <f t="shared" si="30"/>
        <v>1.0535443978017445</v>
      </c>
      <c r="AF41" s="30">
        <f t="shared" si="31"/>
        <v>1.0151266299398038</v>
      </c>
      <c r="AG41" s="30">
        <f t="shared" si="32"/>
        <v>0.9322475468256386</v>
      </c>
      <c r="AH41" s="30">
        <f t="shared" si="33"/>
        <v>0.94685639753988304</v>
      </c>
      <c r="AI41" s="30">
        <f t="shared" si="34"/>
        <v>0.85503464973370191</v>
      </c>
      <c r="AJ41" s="30">
        <f t="shared" si="35"/>
        <v>0.86608079252954651</v>
      </c>
    </row>
    <row r="42" spans="1:36" x14ac:dyDescent="0.25">
      <c r="A42" s="32"/>
      <c r="B42" s="32" t="s">
        <v>830</v>
      </c>
      <c r="C42" s="32">
        <v>12</v>
      </c>
      <c r="D42" s="32">
        <v>-69.77</v>
      </c>
      <c r="E42" s="32">
        <v>0.55740672349929798</v>
      </c>
      <c r="F42" s="32">
        <v>0.91722857952117898</v>
      </c>
      <c r="G42" s="32">
        <v>5.4250593185424796</v>
      </c>
      <c r="H42" s="32">
        <v>21.807826995849599</v>
      </c>
      <c r="I42" s="32">
        <v>1.0504788160324099</v>
      </c>
      <c r="J42" s="32">
        <v>5.6662607192993102</v>
      </c>
      <c r="K42" s="32">
        <f t="shared" si="24"/>
        <v>29.079193038008814</v>
      </c>
      <c r="L42" s="32">
        <f t="shared" si="25"/>
        <v>52.168715970010069</v>
      </c>
      <c r="M42" s="33" t="s">
        <v>815</v>
      </c>
      <c r="N42" s="32"/>
      <c r="O42" s="32"/>
      <c r="P42" s="32">
        <v>22.411460876464801</v>
      </c>
      <c r="Q42" s="32">
        <v>22.6573390960693</v>
      </c>
      <c r="R42" s="32">
        <v>23.4279460906982</v>
      </c>
      <c r="S42" s="32">
        <v>22.6114406585693</v>
      </c>
      <c r="T42" s="32">
        <v>21.736495971679599</v>
      </c>
      <c r="U42" s="32">
        <v>19.809186935424801</v>
      </c>
      <c r="V42" s="32">
        <v>20.195182800292901</v>
      </c>
      <c r="W42" s="32">
        <v>19.574119567871001</v>
      </c>
      <c r="X42" s="32">
        <v>19.8129863739013</v>
      </c>
      <c r="Y42" s="32">
        <v>18.475105285644499</v>
      </c>
      <c r="Z42" s="32"/>
      <c r="AA42" s="32">
        <f t="shared" si="26"/>
        <v>1</v>
      </c>
      <c r="AB42" s="32">
        <f t="shared" si="27"/>
        <v>1.0109710929135685</v>
      </c>
      <c r="AC42" s="32">
        <f t="shared" si="28"/>
        <v>1.0453555981841796</v>
      </c>
      <c r="AD42" s="32">
        <f t="shared" si="29"/>
        <v>1.0089231033713875</v>
      </c>
      <c r="AE42" s="32">
        <f t="shared" si="30"/>
        <v>0.96988304740571329</v>
      </c>
      <c r="AF42" s="32">
        <f t="shared" si="31"/>
        <v>0.88388646526060444</v>
      </c>
      <c r="AG42" s="32">
        <f t="shared" si="32"/>
        <v>0.90110961135517476</v>
      </c>
      <c r="AH42" s="32">
        <f t="shared" si="33"/>
        <v>0.87339775286253607</v>
      </c>
      <c r="AI42" s="32">
        <f t="shared" si="34"/>
        <v>0.88405599630980469</v>
      </c>
      <c r="AJ42" s="32">
        <f t="shared" si="35"/>
        <v>0.82435970539724923</v>
      </c>
    </row>
    <row r="43" spans="1:36" x14ac:dyDescent="0.25">
      <c r="A43" s="32"/>
      <c r="B43" s="32" t="s">
        <v>831</v>
      </c>
      <c r="C43" s="32">
        <v>13</v>
      </c>
      <c r="D43" s="32">
        <v>-73.55</v>
      </c>
      <c r="E43" s="32">
        <v>0.41399142146110501</v>
      </c>
      <c r="F43" s="32">
        <v>0.949071824550629</v>
      </c>
      <c r="G43" s="32">
        <v>5.60658454895019</v>
      </c>
      <c r="H43" s="32">
        <v>22.274757385253899</v>
      </c>
      <c r="I43" s="32">
        <v>1.0525814294814999</v>
      </c>
      <c r="J43" s="32">
        <v>5.7645697593688903</v>
      </c>
      <c r="K43" s="32">
        <f t="shared" si="24"/>
        <v>29.397141574401452</v>
      </c>
      <c r="L43" s="32">
        <f t="shared" si="25"/>
        <v>71.009059730391897</v>
      </c>
      <c r="M43" s="33" t="s">
        <v>815</v>
      </c>
      <c r="N43" s="32"/>
      <c r="O43" s="32"/>
      <c r="P43" s="32">
        <v>21.559185028076101</v>
      </c>
      <c r="Q43" s="32">
        <v>22.201713562011701</v>
      </c>
      <c r="R43" s="32">
        <v>22.4885749816894</v>
      </c>
      <c r="S43" s="32">
        <v>23.552253723144499</v>
      </c>
      <c r="T43" s="32">
        <v>21.7656135559082</v>
      </c>
      <c r="U43" s="32">
        <v>21.6076965332031</v>
      </c>
      <c r="V43" s="32">
        <v>21.050481796264599</v>
      </c>
      <c r="W43" s="32">
        <v>19.469612121581999</v>
      </c>
      <c r="X43" s="32">
        <v>19.021715164184499</v>
      </c>
      <c r="Y43" s="32">
        <v>19.618648529052699</v>
      </c>
      <c r="Z43" s="32"/>
      <c r="AA43" s="32">
        <f t="shared" si="26"/>
        <v>1</v>
      </c>
      <c r="AB43" s="32">
        <f t="shared" si="27"/>
        <v>1.0298030066117456</v>
      </c>
      <c r="AC43" s="32">
        <f t="shared" si="28"/>
        <v>1.0431087702249864</v>
      </c>
      <c r="AD43" s="32">
        <f t="shared" si="29"/>
        <v>1.0924463838717866</v>
      </c>
      <c r="AE43" s="32">
        <f t="shared" si="30"/>
        <v>1.0095749689778752</v>
      </c>
      <c r="AF43" s="32">
        <f t="shared" si="31"/>
        <v>1.0022501548673488</v>
      </c>
      <c r="AG43" s="32">
        <f t="shared" si="32"/>
        <v>0.97640433851516062</v>
      </c>
      <c r="AH43" s="32">
        <f t="shared" si="33"/>
        <v>0.90307737032856794</v>
      </c>
      <c r="AI43" s="32">
        <f t="shared" si="34"/>
        <v>0.88230214358348402</v>
      </c>
      <c r="AJ43" s="32">
        <f t="shared" si="35"/>
        <v>0.90999026649215731</v>
      </c>
    </row>
    <row r="44" spans="1:36" x14ac:dyDescent="0.25">
      <c r="A44" s="30"/>
      <c r="B44" s="30" t="s">
        <v>832</v>
      </c>
      <c r="C44" s="30">
        <v>14</v>
      </c>
      <c r="D44" s="30">
        <v>-77.22</v>
      </c>
      <c r="E44" s="30">
        <v>0.26906499266624501</v>
      </c>
      <c r="F44" s="30">
        <v>1.08043909072876</v>
      </c>
      <c r="G44" s="30">
        <v>4.8819952011108398</v>
      </c>
      <c r="H44" s="30">
        <v>18.710693359375</v>
      </c>
      <c r="I44" s="30">
        <v>1.12802946567535</v>
      </c>
      <c r="J44" s="30">
        <v>4.7828550338745099</v>
      </c>
      <c r="K44" s="30">
        <f t="shared" si="24"/>
        <v>23.20973808652786</v>
      </c>
      <c r="L44" s="30">
        <f t="shared" si="25"/>
        <v>86.260712910050714</v>
      </c>
      <c r="M44" s="30"/>
      <c r="N44" s="30"/>
      <c r="O44" s="30"/>
      <c r="P44" s="30">
        <v>18.853927612304599</v>
      </c>
      <c r="Q44" s="30">
        <v>20.292335510253899</v>
      </c>
      <c r="R44" s="30">
        <v>20.517253875732401</v>
      </c>
      <c r="S44" s="30">
        <v>19.536376953125</v>
      </c>
      <c r="T44" s="30">
        <v>18.090579986572202</v>
      </c>
      <c r="U44" s="30">
        <v>18.257286071777301</v>
      </c>
      <c r="V44" s="30">
        <v>17.1274604797363</v>
      </c>
      <c r="W44" s="30">
        <v>17.322868347167901</v>
      </c>
      <c r="X44" s="30">
        <v>16.515365600585898</v>
      </c>
      <c r="Y44" s="30">
        <v>15.5278930664062</v>
      </c>
      <c r="Z44" s="30"/>
      <c r="AA44" s="30">
        <f t="shared" si="26"/>
        <v>1</v>
      </c>
      <c r="AB44" s="30">
        <f t="shared" si="27"/>
        <v>1.0762922149446759</v>
      </c>
      <c r="AC44" s="30">
        <f t="shared" si="28"/>
        <v>1.0882217380712902</v>
      </c>
      <c r="AD44" s="30">
        <f t="shared" si="29"/>
        <v>1.0361966670740275</v>
      </c>
      <c r="AE44" s="30">
        <f t="shared" si="30"/>
        <v>0.95951254075918824</v>
      </c>
      <c r="AF44" s="30">
        <f t="shared" si="31"/>
        <v>0.96835452258032895</v>
      </c>
      <c r="AG44" s="30">
        <f t="shared" si="32"/>
        <v>0.90842931149043138</v>
      </c>
      <c r="AH44" s="30">
        <f t="shared" si="33"/>
        <v>0.91879361708498952</v>
      </c>
      <c r="AI44" s="30">
        <f t="shared" si="34"/>
        <v>0.87596419908855017</v>
      </c>
      <c r="AJ44" s="30">
        <f t="shared" si="35"/>
        <v>0.82358930116355511</v>
      </c>
    </row>
    <row r="47" spans="1:36" x14ac:dyDescent="0.25">
      <c r="E47">
        <f>AVERAGE(E3:E17)</f>
        <v>0.22551672657330837</v>
      </c>
      <c r="K47">
        <f>AVERAGE(K3:K17)</f>
        <v>20.09712995977149</v>
      </c>
      <c r="L47">
        <f>AVERAGE(L3:L17)</f>
        <v>90.264195466832277</v>
      </c>
    </row>
    <row r="49" spans="5:12" x14ac:dyDescent="0.25">
      <c r="E49">
        <f>AVERAGE(E19:E29)</f>
        <v>0.24584909054366016</v>
      </c>
      <c r="K49">
        <f>AVERAGE(K19:K29)</f>
        <v>23.207432507392632</v>
      </c>
      <c r="L49">
        <f>AVERAGE(L19:L29)</f>
        <v>97.318920528212303</v>
      </c>
    </row>
    <row r="51" spans="5:12" x14ac:dyDescent="0.25">
      <c r="E51">
        <f>AVERAGE(E31:E44)</f>
        <v>0.32603141452584955</v>
      </c>
      <c r="K51">
        <f>AVERAGE(K31:K44)</f>
        <v>28.83002301312726</v>
      </c>
      <c r="L51">
        <f>AVERAGE(L31:L44)</f>
        <v>99.797762591895804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4289-B63B-4528-8CB2-4C42317C62DA}">
  <dimension ref="A2:N32"/>
  <sheetViews>
    <sheetView topLeftCell="A3" workbookViewId="0">
      <selection activeCell="A31" sqref="A31:XFD31"/>
    </sheetView>
  </sheetViews>
  <sheetFormatPr defaultRowHeight="15" x14ac:dyDescent="0.25"/>
  <cols>
    <col min="1" max="1" width="9.7109375" bestFit="1" customWidth="1"/>
  </cols>
  <sheetData>
    <row r="2" spans="1:14" x14ac:dyDescent="0.25">
      <c r="A2" s="4" t="s">
        <v>2</v>
      </c>
      <c r="B2" s="5"/>
    </row>
    <row r="3" spans="1:14" ht="45" x14ac:dyDescent="0.25">
      <c r="A3" s="7" t="s">
        <v>3</v>
      </c>
      <c r="B3" s="8" t="s">
        <v>4</v>
      </c>
      <c r="C3" s="7" t="s">
        <v>5</v>
      </c>
      <c r="D3" s="7" t="s">
        <v>6</v>
      </c>
      <c r="E3" s="7" t="s">
        <v>7</v>
      </c>
      <c r="F3" t="s">
        <v>36</v>
      </c>
      <c r="G3" t="s">
        <v>553</v>
      </c>
      <c r="H3" s="7" t="s">
        <v>8</v>
      </c>
      <c r="I3" t="s">
        <v>36</v>
      </c>
      <c r="J3" t="s">
        <v>553</v>
      </c>
      <c r="K3" s="7" t="s">
        <v>9</v>
      </c>
      <c r="L3" s="7" t="s">
        <v>10</v>
      </c>
      <c r="M3" s="7"/>
      <c r="N3" s="7"/>
    </row>
    <row r="4" spans="1:14" x14ac:dyDescent="0.25">
      <c r="A4" s="9">
        <v>42705</v>
      </c>
      <c r="B4" t="s">
        <v>56</v>
      </c>
      <c r="C4">
        <v>2</v>
      </c>
      <c r="D4">
        <v>-57.9</v>
      </c>
      <c r="E4">
        <v>0.16928599999999999</v>
      </c>
      <c r="H4">
        <v>16.735900000000001</v>
      </c>
      <c r="K4">
        <f>H4/(1-(0.8*(H4/(ABS(D4)))))</f>
        <v>21.769956065069351</v>
      </c>
      <c r="L4">
        <f>K4/E4</f>
        <v>128.59867954272269</v>
      </c>
    </row>
    <row r="5" spans="1:14" x14ac:dyDescent="0.25">
      <c r="B5" t="s">
        <v>57</v>
      </c>
      <c r="C5">
        <v>3</v>
      </c>
      <c r="D5">
        <v>-60.2</v>
      </c>
      <c r="E5">
        <v>0.17701700000000001</v>
      </c>
      <c r="H5">
        <v>15.681900000000001</v>
      </c>
      <c r="K5">
        <f>H5/(1-(0.8*(H5/(ABS(D5)))))</f>
        <v>19.810317518940508</v>
      </c>
      <c r="L5">
        <f>K5/E5</f>
        <v>111.9119492418271</v>
      </c>
    </row>
    <row r="6" spans="1:14" x14ac:dyDescent="0.25">
      <c r="B6" t="s">
        <v>58</v>
      </c>
      <c r="C6">
        <v>4</v>
      </c>
      <c r="D6">
        <v>-61.3</v>
      </c>
      <c r="E6">
        <v>0.16300500000000001</v>
      </c>
      <c r="H6">
        <v>13.058999999999999</v>
      </c>
      <c r="K6">
        <f>H6/(1-(0.8*(H6/(ABS(D6)))))</f>
        <v>15.741841157222414</v>
      </c>
      <c r="L6">
        <f>K6/E6</f>
        <v>96.572750266693731</v>
      </c>
    </row>
    <row r="7" spans="1:14" x14ac:dyDescent="0.25">
      <c r="B7" t="s">
        <v>59</v>
      </c>
      <c r="C7">
        <v>5</v>
      </c>
      <c r="D7">
        <v>-56.6</v>
      </c>
      <c r="E7">
        <v>0.207839</v>
      </c>
      <c r="H7">
        <v>14.683400000000001</v>
      </c>
      <c r="K7">
        <f t="shared" ref="K7:K14" si="0">H7/(1-(0.8*(H7/(ABS(D7)))))</f>
        <v>18.528866562267019</v>
      </c>
      <c r="L7">
        <f t="shared" ref="L7:L27" si="1">K7/E7</f>
        <v>89.150094843927363</v>
      </c>
    </row>
    <row r="8" spans="1:14" x14ac:dyDescent="0.25">
      <c r="B8" t="s">
        <v>60</v>
      </c>
      <c r="C8">
        <v>6</v>
      </c>
      <c r="D8">
        <v>-61.5</v>
      </c>
      <c r="E8">
        <v>0.201097</v>
      </c>
      <c r="H8">
        <v>17.051300000000001</v>
      </c>
      <c r="K8">
        <f t="shared" si="0"/>
        <v>21.911361007426823</v>
      </c>
      <c r="L8">
        <f t="shared" si="1"/>
        <v>108.95916402247086</v>
      </c>
    </row>
    <row r="9" spans="1:14" x14ac:dyDescent="0.25">
      <c r="B9" t="s">
        <v>61</v>
      </c>
      <c r="C9">
        <v>7</v>
      </c>
      <c r="D9">
        <v>-71</v>
      </c>
      <c r="E9">
        <v>0.24408299999999999</v>
      </c>
      <c r="H9">
        <v>17.3932</v>
      </c>
      <c r="K9">
        <f t="shared" si="0"/>
        <v>21.632787625005605</v>
      </c>
      <c r="L9">
        <f t="shared" si="1"/>
        <v>88.628817349039494</v>
      </c>
    </row>
    <row r="10" spans="1:14" x14ac:dyDescent="0.25">
      <c r="B10" t="s">
        <v>62</v>
      </c>
      <c r="C10">
        <v>8</v>
      </c>
      <c r="D10">
        <v>-60.3</v>
      </c>
      <c r="E10">
        <v>0.18146100000000001</v>
      </c>
      <c r="H10">
        <v>14.5602</v>
      </c>
      <c r="K10">
        <f t="shared" si="0"/>
        <v>18.046184070324987</v>
      </c>
      <c r="L10">
        <f t="shared" si="1"/>
        <v>99.449380695163072</v>
      </c>
    </row>
    <row r="11" spans="1:14" x14ac:dyDescent="0.25">
      <c r="B11" t="s">
        <v>63</v>
      </c>
      <c r="C11">
        <v>9</v>
      </c>
      <c r="D11">
        <v>-62.8</v>
      </c>
      <c r="E11">
        <v>0.184368</v>
      </c>
      <c r="H11">
        <v>11.665699999999999</v>
      </c>
      <c r="K11">
        <f t="shared" si="0"/>
        <v>13.701908301575688</v>
      </c>
      <c r="L11">
        <f t="shared" si="1"/>
        <v>74.318256430485164</v>
      </c>
    </row>
    <row r="12" spans="1:14" x14ac:dyDescent="0.25">
      <c r="B12" t="s">
        <v>64</v>
      </c>
      <c r="C12">
        <v>10</v>
      </c>
      <c r="D12">
        <v>-66</v>
      </c>
      <c r="E12">
        <v>0.21554599999999999</v>
      </c>
      <c r="H12">
        <v>16.6006</v>
      </c>
      <c r="K12">
        <f t="shared" si="0"/>
        <v>20.782427457609629</v>
      </c>
      <c r="L12">
        <f t="shared" si="1"/>
        <v>96.417597439106402</v>
      </c>
    </row>
    <row r="13" spans="1:14" x14ac:dyDescent="0.25">
      <c r="B13" t="s">
        <v>65</v>
      </c>
      <c r="C13">
        <v>11</v>
      </c>
      <c r="D13">
        <v>-56.9</v>
      </c>
      <c r="E13">
        <v>0.172986</v>
      </c>
      <c r="H13">
        <v>11.066000000000001</v>
      </c>
      <c r="K13">
        <f t="shared" si="0"/>
        <v>13.104934314590652</v>
      </c>
      <c r="L13">
        <f t="shared" si="1"/>
        <v>75.757196042400267</v>
      </c>
    </row>
    <row r="14" spans="1:14" x14ac:dyDescent="0.25">
      <c r="B14" t="s">
        <v>66</v>
      </c>
      <c r="C14">
        <v>12</v>
      </c>
      <c r="D14">
        <v>-65.900000000000006</v>
      </c>
      <c r="E14">
        <v>0.21376800000000001</v>
      </c>
      <c r="H14">
        <v>17.382100000000001</v>
      </c>
      <c r="K14">
        <f t="shared" si="0"/>
        <v>22.030875487937916</v>
      </c>
      <c r="L14">
        <f t="shared" si="1"/>
        <v>103.05974462004563</v>
      </c>
    </row>
    <row r="15" spans="1:14" x14ac:dyDescent="0.25">
      <c r="A15" s="9"/>
      <c r="B15" t="s">
        <v>67</v>
      </c>
      <c r="C15">
        <v>13</v>
      </c>
      <c r="D15">
        <v>-64.099999999999994</v>
      </c>
      <c r="E15">
        <v>0.26480100000000001</v>
      </c>
      <c r="H15">
        <v>15.3895</v>
      </c>
      <c r="K15">
        <f>H15/(1-(0.8*(H15/(ABS(D15)))))</f>
        <v>19.048029095318643</v>
      </c>
      <c r="L15">
        <f t="shared" si="1"/>
        <v>71.933372968072788</v>
      </c>
    </row>
    <row r="16" spans="1:14" x14ac:dyDescent="0.25">
      <c r="B16" t="s">
        <v>68</v>
      </c>
      <c r="C16">
        <v>14</v>
      </c>
      <c r="D16">
        <v>-59</v>
      </c>
      <c r="E16">
        <v>0.170239</v>
      </c>
      <c r="H16">
        <v>12.827500000000001</v>
      </c>
      <c r="K16">
        <f>H16/(1-(0.8*(H16/(ABS(D16)))))</f>
        <v>15.528386474619394</v>
      </c>
      <c r="L16">
        <f t="shared" si="1"/>
        <v>91.215211993840384</v>
      </c>
    </row>
    <row r="17" spans="1:12" x14ac:dyDescent="0.25">
      <c r="B17" t="s">
        <v>69</v>
      </c>
      <c r="C17">
        <v>16</v>
      </c>
      <c r="D17">
        <v>-64.3</v>
      </c>
      <c r="E17">
        <v>0.27882200000000001</v>
      </c>
      <c r="H17">
        <v>20.824100000000001</v>
      </c>
      <c r="K17">
        <f>H17/(1-(0.8*(H17/(ABS(D17)))))</f>
        <v>28.105990631543779</v>
      </c>
      <c r="L17">
        <f t="shared" si="1"/>
        <v>100.80262903050613</v>
      </c>
    </row>
    <row r="18" spans="1:12" x14ac:dyDescent="0.25">
      <c r="B18" t="s">
        <v>70</v>
      </c>
      <c r="C18">
        <v>17</v>
      </c>
      <c r="D18">
        <v>-64.5</v>
      </c>
      <c r="E18">
        <v>0.26949000000000001</v>
      </c>
      <c r="H18">
        <v>14.4962</v>
      </c>
      <c r="K18">
        <f>H18/(1-(0.8*(H18/(ABS(D18)))))</f>
        <v>17.673935184065037</v>
      </c>
      <c r="L18">
        <f t="shared" si="1"/>
        <v>65.58289800758854</v>
      </c>
    </row>
    <row r="19" spans="1:12" x14ac:dyDescent="0.25">
      <c r="B19" t="s">
        <v>71</v>
      </c>
      <c r="C19">
        <v>18</v>
      </c>
      <c r="D19">
        <v>-62.6</v>
      </c>
      <c r="E19">
        <v>0.36773299999999998</v>
      </c>
      <c r="H19">
        <v>17.735499999999998</v>
      </c>
      <c r="K19">
        <f>H19/(1-(0.8*(H19/(ABS(D19)))))</f>
        <v>22.933394062580039</v>
      </c>
      <c r="L19">
        <f t="shared" si="1"/>
        <v>62.364253582300314</v>
      </c>
    </row>
    <row r="20" spans="1:12" x14ac:dyDescent="0.25">
      <c r="B20" t="s">
        <v>72</v>
      </c>
      <c r="C20">
        <v>19</v>
      </c>
      <c r="D20">
        <v>-61.5</v>
      </c>
      <c r="E20">
        <v>0.22175700000000001</v>
      </c>
      <c r="H20">
        <v>14.049799999999999</v>
      </c>
      <c r="K20">
        <f t="shared" ref="K20:K21" si="2">H20/(1-(0.8*(H20/(ABS(D20)))))</f>
        <v>17.191801617822147</v>
      </c>
      <c r="L20">
        <f t="shared" si="1"/>
        <v>77.525406719166227</v>
      </c>
    </row>
    <row r="21" spans="1:12" x14ac:dyDescent="0.25">
      <c r="B21" t="s">
        <v>73</v>
      </c>
      <c r="C21">
        <v>20</v>
      </c>
      <c r="D21">
        <v>-60.9</v>
      </c>
      <c r="E21">
        <v>0.40983700000000001</v>
      </c>
      <c r="H21">
        <v>18.8599</v>
      </c>
      <c r="K21">
        <f t="shared" si="2"/>
        <v>25.071289275667027</v>
      </c>
      <c r="L21">
        <f t="shared" si="1"/>
        <v>61.173806356349054</v>
      </c>
    </row>
    <row r="22" spans="1:12" x14ac:dyDescent="0.25">
      <c r="B22" t="s">
        <v>74</v>
      </c>
      <c r="C22">
        <v>21</v>
      </c>
      <c r="D22">
        <v>-60.2</v>
      </c>
      <c r="E22">
        <v>0.34243200000000001</v>
      </c>
      <c r="H22">
        <v>18.453700000000001</v>
      </c>
      <c r="K22">
        <f>H22/(1-(0.8*(H22/(ABS(D22)))))</f>
        <v>24.449496270003504</v>
      </c>
      <c r="L22">
        <f t="shared" si="1"/>
        <v>71.399566249659799</v>
      </c>
    </row>
    <row r="23" spans="1:12" s="11" customFormat="1" ht="20.25" thickBot="1" x14ac:dyDescent="0.35"/>
    <row r="24" spans="1:12" ht="15.75" thickTop="1" x14ac:dyDescent="0.25">
      <c r="A24" s="9">
        <v>42710</v>
      </c>
      <c r="B24" t="s">
        <v>75</v>
      </c>
      <c r="C24">
        <v>1</v>
      </c>
      <c r="D24">
        <v>-68.3</v>
      </c>
      <c r="E24">
        <v>0.197157</v>
      </c>
      <c r="H24">
        <v>18.991099999999999</v>
      </c>
      <c r="K24">
        <f>H24/(1-(0.8*(H24/(ABS(D24)))))</f>
        <v>24.424072139479602</v>
      </c>
      <c r="L24">
        <f t="shared" si="1"/>
        <v>123.88133385819221</v>
      </c>
    </row>
    <row r="25" spans="1:12" x14ac:dyDescent="0.25">
      <c r="B25" t="s">
        <v>76</v>
      </c>
      <c r="C25">
        <v>2</v>
      </c>
      <c r="D25">
        <v>-66.8</v>
      </c>
      <c r="E25">
        <v>0.18935199999999999</v>
      </c>
      <c r="H25">
        <v>11.3491</v>
      </c>
      <c r="K25">
        <f>H25/(1-(0.8*(H25/(ABS(D25)))))</f>
        <v>13.134276218314671</v>
      </c>
      <c r="L25">
        <f t="shared" si="1"/>
        <v>69.364338471812658</v>
      </c>
    </row>
    <row r="26" spans="1:12" x14ac:dyDescent="0.25">
      <c r="B26" t="s">
        <v>77</v>
      </c>
      <c r="C26">
        <v>3</v>
      </c>
      <c r="D26">
        <v>-69.5</v>
      </c>
      <c r="E26">
        <v>0.23209099999999999</v>
      </c>
      <c r="H26">
        <v>17.1373</v>
      </c>
      <c r="K26">
        <f>H26/(1-(0.8*(H26/(ABS(D26)))))</f>
        <v>21.348609683141255</v>
      </c>
      <c r="L26">
        <f t="shared" si="1"/>
        <v>91.98378947542669</v>
      </c>
    </row>
    <row r="27" spans="1:12" x14ac:dyDescent="0.25">
      <c r="B27" t="s">
        <v>78</v>
      </c>
      <c r="C27">
        <v>4</v>
      </c>
      <c r="D27">
        <v>-62.8</v>
      </c>
      <c r="E27">
        <v>0.16272300000000001</v>
      </c>
      <c r="H27">
        <v>14.784800000000001</v>
      </c>
      <c r="K27">
        <f>H27/(1-(0.8*(H27/(ABS(D27)))))</f>
        <v>18.215540404801366</v>
      </c>
      <c r="L27">
        <f t="shared" si="1"/>
        <v>111.94201437289975</v>
      </c>
    </row>
    <row r="30" spans="1:12" x14ac:dyDescent="0.25">
      <c r="E30">
        <f>AVERAGE(E4:E22)</f>
        <v>0.2345035263157895</v>
      </c>
      <c r="K30">
        <f>AVERAGE(K4:K22)</f>
        <v>19.84546221997843</v>
      </c>
      <c r="L30">
        <f>AVERAGE(L4:L22)</f>
        <v>88.148461863229727</v>
      </c>
    </row>
    <row r="32" spans="1:12" x14ac:dyDescent="0.25">
      <c r="E32">
        <f>AVERAGE(E24:E27)</f>
        <v>0.19533075</v>
      </c>
      <c r="K32">
        <f>AVERAGE(K24:K27)</f>
        <v>19.280624611434224</v>
      </c>
      <c r="L32">
        <f>AVERAGE(L24:L27)</f>
        <v>99.292869044582829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366EA-B913-4A17-9EEA-E68AB9F16BF4}">
  <dimension ref="A1:AJ17"/>
  <sheetViews>
    <sheetView workbookViewId="0">
      <selection activeCell="AC3" sqref="AC3:AC14"/>
    </sheetView>
  </sheetViews>
  <sheetFormatPr defaultRowHeight="15" x14ac:dyDescent="0.25"/>
  <cols>
    <col min="1" max="1" width="9.7109375" bestFit="1" customWidth="1"/>
  </cols>
  <sheetData>
    <row r="1" spans="1:36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36</v>
      </c>
      <c r="G1" t="s">
        <v>553</v>
      </c>
      <c r="H1" t="s">
        <v>8</v>
      </c>
      <c r="I1" t="s">
        <v>36</v>
      </c>
      <c r="J1" t="s">
        <v>553</v>
      </c>
      <c r="K1" t="s">
        <v>9</v>
      </c>
      <c r="L1" t="s">
        <v>10</v>
      </c>
      <c r="M1" t="s">
        <v>79</v>
      </c>
      <c r="N1" t="s">
        <v>110</v>
      </c>
      <c r="P1" t="s">
        <v>470</v>
      </c>
      <c r="AA1" t="s">
        <v>471</v>
      </c>
    </row>
    <row r="2" spans="1:36" x14ac:dyDescent="0.25">
      <c r="A2" s="9">
        <v>44650</v>
      </c>
      <c r="P2" t="s">
        <v>395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AA2" t="s">
        <v>395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</row>
    <row r="3" spans="1:36" x14ac:dyDescent="0.25">
      <c r="A3" s="32"/>
      <c r="B3" s="32" t="s">
        <v>859</v>
      </c>
      <c r="C3" s="32">
        <v>1</v>
      </c>
      <c r="D3" s="32">
        <v>-83.09</v>
      </c>
      <c r="E3" s="32">
        <v>0.33462914824485801</v>
      </c>
      <c r="F3" s="32">
        <v>1.0272419452667201</v>
      </c>
      <c r="G3" s="32">
        <v>5.6138501167297301</v>
      </c>
      <c r="H3" s="32">
        <v>25.576683044433501</v>
      </c>
      <c r="I3" s="32">
        <v>1.08699238300323</v>
      </c>
      <c r="J3" s="32">
        <v>4.9048175811767498</v>
      </c>
      <c r="K3" s="32">
        <f t="shared" ref="K3:K14" si="0">H3/(1-(0.8*(H3/(ABS(D3)))))</f>
        <v>33.932816262366252</v>
      </c>
      <c r="L3" s="32">
        <f t="shared" ref="L3:L14" si="1">K3/E3</f>
        <v>101.40424538730443</v>
      </c>
      <c r="M3" s="32"/>
      <c r="N3" s="32"/>
      <c r="O3" s="32"/>
      <c r="P3" s="32">
        <v>24.124320983886701</v>
      </c>
      <c r="Q3" s="32">
        <v>27.604595184326101</v>
      </c>
      <c r="R3" s="32">
        <v>28.703605651855401</v>
      </c>
      <c r="S3" s="32">
        <v>26.470069885253899</v>
      </c>
      <c r="T3" s="32">
        <v>27.065982818603501</v>
      </c>
      <c r="U3" s="32">
        <v>26.627132415771399</v>
      </c>
      <c r="V3" s="32">
        <v>23.321590423583899</v>
      </c>
      <c r="W3" s="32">
        <v>23.886093139648398</v>
      </c>
      <c r="X3" s="32">
        <v>23.100772857666001</v>
      </c>
      <c r="Y3" s="32">
        <v>20.499794006347599</v>
      </c>
      <c r="Z3" s="32"/>
      <c r="AA3" s="32">
        <f>P3/P3</f>
        <v>1</v>
      </c>
      <c r="AB3" s="32">
        <f>Q3/P3</f>
        <v>1.1442641309060666</v>
      </c>
      <c r="AC3" s="32">
        <f>R3/P3</f>
        <v>1.1898202511493414</v>
      </c>
      <c r="AD3" s="32">
        <f>S3/P3</f>
        <v>1.0972358518581307</v>
      </c>
      <c r="AE3" s="32">
        <f>T3/P3</f>
        <v>1.121937601339396</v>
      </c>
      <c r="AF3" s="32">
        <f>U3/P3</f>
        <v>1.1037463990616108</v>
      </c>
      <c r="AG3" s="32">
        <f>V3/P3</f>
        <v>0.9667252578491653</v>
      </c>
      <c r="AH3" s="32">
        <f>W3/P3</f>
        <v>0.99012499276570642</v>
      </c>
      <c r="AI3" s="32">
        <f>X3/P3</f>
        <v>0.95757194049505656</v>
      </c>
      <c r="AJ3" s="32">
        <f>Y3/P3</f>
        <v>0.84975631107047433</v>
      </c>
    </row>
    <row r="4" spans="1:36" x14ac:dyDescent="0.25">
      <c r="A4" s="30"/>
      <c r="B4" s="30" t="s">
        <v>860</v>
      </c>
      <c r="C4" s="30">
        <v>2</v>
      </c>
      <c r="D4" s="30">
        <v>-60.5</v>
      </c>
      <c r="E4" s="30">
        <v>0.32704371213913003</v>
      </c>
      <c r="F4" s="30">
        <v>1.21076667308807</v>
      </c>
      <c r="G4" s="30">
        <v>6.0650792121887198</v>
      </c>
      <c r="H4" s="30">
        <v>12.480262756347599</v>
      </c>
      <c r="I4" s="30">
        <v>1.2140724658966</v>
      </c>
      <c r="J4" s="30">
        <v>5.3665995597839302</v>
      </c>
      <c r="K4" s="30">
        <f t="shared" si="0"/>
        <v>14.946928471757388</v>
      </c>
      <c r="L4" s="30">
        <f t="shared" si="1"/>
        <v>45.703151954802628</v>
      </c>
      <c r="M4" s="30" t="s">
        <v>861</v>
      </c>
      <c r="N4" s="30"/>
      <c r="O4" s="30"/>
      <c r="P4" s="30">
        <v>13.0210571289062</v>
      </c>
      <c r="Q4" s="30">
        <v>15.2992439270019</v>
      </c>
      <c r="R4" s="30">
        <v>14.9010772705078</v>
      </c>
      <c r="S4" s="30">
        <v>15.332069396972599</v>
      </c>
      <c r="T4" s="30">
        <v>15.1194076538085</v>
      </c>
      <c r="U4" s="30">
        <v>16.0202827453613</v>
      </c>
      <c r="V4" s="30">
        <v>15.571971893310501</v>
      </c>
      <c r="W4" s="30">
        <v>15.493648529052701</v>
      </c>
      <c r="X4" s="30">
        <v>14.109878540039</v>
      </c>
      <c r="Y4" s="30">
        <v>13.3271789550781</v>
      </c>
      <c r="Z4" s="30"/>
      <c r="AA4" s="30">
        <f t="shared" ref="AA4:AA14" si="2">P4/P4</f>
        <v>1</v>
      </c>
      <c r="AB4" s="30">
        <f t="shared" ref="AB4:AB14" si="3">Q4/P4</f>
        <v>1.1749617389388625</v>
      </c>
      <c r="AC4" s="30">
        <f t="shared" ref="AC4:AC14" si="4">R4/P4</f>
        <v>1.1443830652910687</v>
      </c>
      <c r="AD4" s="30">
        <f t="shared" ref="AD4:AD14" si="5">S4/P4</f>
        <v>1.1774826917037364</v>
      </c>
      <c r="AE4" s="30">
        <f t="shared" ref="AE4:AE14" si="6">T4/P4</f>
        <v>1.1611505505374098</v>
      </c>
      <c r="AF4" s="30">
        <f t="shared" ref="AF4:AF14" si="7">U4/P4</f>
        <v>1.2303365684339826</v>
      </c>
      <c r="AG4" s="30">
        <f t="shared" ref="AG4:AG14" si="8">V4/P4</f>
        <v>1.1959068867566349</v>
      </c>
      <c r="AH4" s="30">
        <f t="shared" ref="AH4:AH14" si="9">W4/P4</f>
        <v>1.1898917557666997</v>
      </c>
      <c r="AI4" s="30">
        <f t="shared" ref="AI4:AI14" si="10">X4/P4</f>
        <v>1.0836200471554389</v>
      </c>
      <c r="AJ4" s="30">
        <f t="shared" ref="AJ4:AJ14" si="11">Y4/P4</f>
        <v>1.0235097521761365</v>
      </c>
    </row>
    <row r="5" spans="1:36" x14ac:dyDescent="0.25">
      <c r="A5" s="30"/>
      <c r="B5" s="30" t="s">
        <v>862</v>
      </c>
      <c r="C5" s="30">
        <v>3</v>
      </c>
      <c r="D5" s="30">
        <v>-70.53</v>
      </c>
      <c r="E5" s="30">
        <v>0.33028134703636203</v>
      </c>
      <c r="F5" s="30">
        <v>0.92391240596771196</v>
      </c>
      <c r="G5" s="30">
        <v>4.19170665740966</v>
      </c>
      <c r="H5" s="30">
        <v>22.240184783935501</v>
      </c>
      <c r="I5" s="30">
        <v>0.97142893075943004</v>
      </c>
      <c r="J5" s="30">
        <v>4.4419984817504803</v>
      </c>
      <c r="K5" s="30">
        <f t="shared" si="0"/>
        <v>29.743346916552191</v>
      </c>
      <c r="L5" s="30">
        <f t="shared" si="1"/>
        <v>90.054576752339642</v>
      </c>
      <c r="M5" s="30"/>
      <c r="N5" s="30"/>
      <c r="O5" s="30"/>
      <c r="P5" s="30">
        <v>22.589023590087798</v>
      </c>
      <c r="Q5" s="30">
        <v>23.001274108886701</v>
      </c>
      <c r="R5" s="30">
        <v>24.267429351806602</v>
      </c>
      <c r="S5" s="30">
        <v>23.9541931152343</v>
      </c>
      <c r="T5" s="30">
        <v>22.687858581542901</v>
      </c>
      <c r="U5" s="30">
        <v>22.976669311523398</v>
      </c>
      <c r="V5" s="30">
        <v>20.2451667785644</v>
      </c>
      <c r="W5" s="30">
        <v>18.485591888427699</v>
      </c>
      <c r="X5" s="30">
        <v>20.019905090331999</v>
      </c>
      <c r="Y5" s="30">
        <v>17.9964179992675</v>
      </c>
      <c r="Z5" s="30"/>
      <c r="AA5" s="30">
        <f t="shared" si="2"/>
        <v>1</v>
      </c>
      <c r="AB5" s="30">
        <f t="shared" si="3"/>
        <v>1.0182500371100502</v>
      </c>
      <c r="AC5" s="30">
        <f t="shared" si="4"/>
        <v>1.0743018287189403</v>
      </c>
      <c r="AD5" s="30">
        <f t="shared" si="5"/>
        <v>1.0604350834245686</v>
      </c>
      <c r="AE5" s="30">
        <f t="shared" si="6"/>
        <v>1.0043753547408074</v>
      </c>
      <c r="AF5" s="30">
        <f t="shared" si="7"/>
        <v>1.0171608002395331</v>
      </c>
      <c r="AG5" s="30">
        <f t="shared" si="8"/>
        <v>0.89623912684070606</v>
      </c>
      <c r="AH5" s="30">
        <f t="shared" si="9"/>
        <v>0.81834399856659978</v>
      </c>
      <c r="AI5" s="30">
        <f t="shared" si="10"/>
        <v>0.88626695219871554</v>
      </c>
      <c r="AJ5" s="30">
        <f t="shared" si="11"/>
        <v>0.79668861858927087</v>
      </c>
    </row>
    <row r="6" spans="1:36" x14ac:dyDescent="0.25">
      <c r="A6" s="30"/>
      <c r="B6" s="30" t="s">
        <v>863</v>
      </c>
      <c r="C6" s="30">
        <v>4</v>
      </c>
      <c r="D6" s="30">
        <v>-61.76</v>
      </c>
      <c r="E6" s="30">
        <v>0.37747907638549799</v>
      </c>
      <c r="F6" s="30">
        <v>0.97528237104415905</v>
      </c>
      <c r="G6" s="30">
        <v>4.6882019042968697</v>
      </c>
      <c r="H6" s="30">
        <v>21.103195190429599</v>
      </c>
      <c r="I6" s="30">
        <v>1.02651786804199</v>
      </c>
      <c r="J6" s="30">
        <v>5.2956700325012198</v>
      </c>
      <c r="K6" s="30">
        <f t="shared" si="0"/>
        <v>29.042058174821769</v>
      </c>
      <c r="L6" s="30">
        <f t="shared" si="1"/>
        <v>76.936868800544488</v>
      </c>
      <c r="M6" s="30"/>
      <c r="N6" s="30"/>
      <c r="O6" s="30"/>
      <c r="P6" s="30">
        <v>19.608009338378899</v>
      </c>
      <c r="Q6" s="30">
        <v>21.502231597900298</v>
      </c>
      <c r="R6" s="30">
        <v>21.9866333007812</v>
      </c>
      <c r="S6" s="30">
        <v>21.446903228759702</v>
      </c>
      <c r="T6" s="30">
        <v>21.446903228759702</v>
      </c>
      <c r="U6" s="30">
        <v>21.297863006591701</v>
      </c>
      <c r="V6" s="30">
        <v>19.6248245239257</v>
      </c>
      <c r="W6" s="30">
        <v>18.695873260498001</v>
      </c>
      <c r="X6" s="30">
        <v>19.741050720214801</v>
      </c>
      <c r="Y6" s="30">
        <v>17.821872711181602</v>
      </c>
      <c r="Z6" s="30"/>
      <c r="AA6" s="30">
        <f t="shared" si="2"/>
        <v>1</v>
      </c>
      <c r="AB6" s="30">
        <f t="shared" si="3"/>
        <v>1.0966045163908518</v>
      </c>
      <c r="AC6" s="30">
        <f t="shared" si="4"/>
        <v>1.1213087938379651</v>
      </c>
      <c r="AD6" s="30">
        <f t="shared" si="5"/>
        <v>1.0937827934823308</v>
      </c>
      <c r="AE6" s="30">
        <f t="shared" si="6"/>
        <v>1.0937827934823308</v>
      </c>
      <c r="AF6" s="30">
        <f t="shared" si="7"/>
        <v>1.0861818065796838</v>
      </c>
      <c r="AG6" s="30">
        <f t="shared" si="8"/>
        <v>1.0008575671939266</v>
      </c>
      <c r="AH6" s="30">
        <f t="shared" si="9"/>
        <v>0.95348145433123754</v>
      </c>
      <c r="AI6" s="30">
        <f t="shared" si="10"/>
        <v>1.0067850529617761</v>
      </c>
      <c r="AJ6" s="30">
        <f t="shared" si="11"/>
        <v>0.90890780413383021</v>
      </c>
    </row>
    <row r="7" spans="1:36" x14ac:dyDescent="0.25">
      <c r="A7" s="30"/>
      <c r="B7" s="30" t="s">
        <v>864</v>
      </c>
      <c r="C7" s="30">
        <v>5</v>
      </c>
      <c r="D7" s="30">
        <v>-67.28</v>
      </c>
      <c r="E7" s="30">
        <v>0.46168953180313099</v>
      </c>
      <c r="F7" s="30">
        <v>0.89605504274368297</v>
      </c>
      <c r="G7" s="30">
        <v>5.2268815040588299</v>
      </c>
      <c r="H7" s="30">
        <v>27.065162658691399</v>
      </c>
      <c r="I7" s="30">
        <v>0.95882165431976296</v>
      </c>
      <c r="J7" s="30">
        <v>5.3145565986633301</v>
      </c>
      <c r="K7" s="30">
        <f t="shared" si="0"/>
        <v>39.908594215405586</v>
      </c>
      <c r="L7" s="30">
        <f t="shared" si="1"/>
        <v>86.440327246629039</v>
      </c>
      <c r="M7" s="30"/>
      <c r="N7" s="30"/>
      <c r="O7" s="30"/>
      <c r="P7" s="30">
        <v>25.627574920654201</v>
      </c>
      <c r="Q7" s="30">
        <v>28.649044036865199</v>
      </c>
      <c r="R7" s="30">
        <v>29.115524291992099</v>
      </c>
      <c r="S7" s="30">
        <v>30.0811462402343</v>
      </c>
      <c r="T7" s="30">
        <v>30.831962585449201</v>
      </c>
      <c r="U7" s="30">
        <v>28.570541381835898</v>
      </c>
      <c r="V7" s="30">
        <v>28.3663024902343</v>
      </c>
      <c r="W7" s="30">
        <v>26.4718627929687</v>
      </c>
      <c r="X7" s="30">
        <v>24.5520629882812</v>
      </c>
      <c r="Y7" s="30">
        <v>25.634342193603501</v>
      </c>
      <c r="Z7" s="30"/>
      <c r="AA7" s="30">
        <f t="shared" si="2"/>
        <v>1</v>
      </c>
      <c r="AB7" s="30">
        <f t="shared" si="3"/>
        <v>1.1178991428399214</v>
      </c>
      <c r="AC7" s="30">
        <f t="shared" si="4"/>
        <v>1.1361014213064238</v>
      </c>
      <c r="AD7" s="30">
        <f t="shared" si="5"/>
        <v>1.1737804428772074</v>
      </c>
      <c r="AE7" s="30">
        <f t="shared" si="6"/>
        <v>1.2030776490131569</v>
      </c>
      <c r="AF7" s="30">
        <f t="shared" si="7"/>
        <v>1.1148359324006836</v>
      </c>
      <c r="AG7" s="30">
        <f t="shared" si="8"/>
        <v>1.106866435004463</v>
      </c>
      <c r="AH7" s="30">
        <f t="shared" si="9"/>
        <v>1.0329445089880143</v>
      </c>
      <c r="AI7" s="30">
        <f t="shared" si="10"/>
        <v>0.95803301967888477</v>
      </c>
      <c r="AJ7" s="30">
        <f t="shared" si="11"/>
        <v>1.0002640621662506</v>
      </c>
    </row>
    <row r="8" spans="1:36" x14ac:dyDescent="0.25">
      <c r="A8" s="30"/>
      <c r="B8" s="30" t="s">
        <v>865</v>
      </c>
      <c r="C8" s="30">
        <v>6</v>
      </c>
      <c r="D8" s="30">
        <v>-74.900000000000006</v>
      </c>
      <c r="E8" s="30">
        <v>0.27298158407211298</v>
      </c>
      <c r="F8" s="30">
        <v>0.827015161514282</v>
      </c>
      <c r="G8" s="30">
        <v>3.6419715881347599</v>
      </c>
      <c r="H8" s="30">
        <v>22.895076751708899</v>
      </c>
      <c r="I8" s="30">
        <v>0.94720679521560702</v>
      </c>
      <c r="J8" s="30">
        <v>4.2771635055541903</v>
      </c>
      <c r="K8" s="30">
        <f t="shared" si="0"/>
        <v>30.306148549801172</v>
      </c>
      <c r="L8" s="30">
        <f t="shared" si="1"/>
        <v>111.01902222750404</v>
      </c>
      <c r="M8" s="30"/>
      <c r="N8" s="30"/>
      <c r="O8" s="30"/>
      <c r="P8" s="30">
        <v>23.900859832763601</v>
      </c>
      <c r="Q8" s="30">
        <v>24.845008850097599</v>
      </c>
      <c r="R8" s="30">
        <v>26.499950408935501</v>
      </c>
      <c r="S8" s="30">
        <v>24.140262603759702</v>
      </c>
      <c r="T8" s="30">
        <v>24.7984199523925</v>
      </c>
      <c r="U8" s="30">
        <v>24.261653900146399</v>
      </c>
      <c r="V8" s="30">
        <v>22.308925628662099</v>
      </c>
      <c r="W8" s="30">
        <v>22.1948738098144</v>
      </c>
      <c r="X8" s="30">
        <v>20.6018981933593</v>
      </c>
      <c r="Y8" s="30">
        <v>20.240974426269499</v>
      </c>
      <c r="Z8" s="30"/>
      <c r="AA8" s="30">
        <f t="shared" si="2"/>
        <v>1</v>
      </c>
      <c r="AB8" s="30">
        <f t="shared" si="3"/>
        <v>1.0395027218242479</v>
      </c>
      <c r="AC8" s="30">
        <f t="shared" si="4"/>
        <v>1.1087446474460736</v>
      </c>
      <c r="AD8" s="30">
        <f t="shared" si="5"/>
        <v>1.0100164919869503</v>
      </c>
      <c r="AE8" s="30">
        <f t="shared" si="6"/>
        <v>1.0375534656873939</v>
      </c>
      <c r="AF8" s="30">
        <f t="shared" si="7"/>
        <v>1.0150954430052854</v>
      </c>
      <c r="AG8" s="30">
        <f t="shared" si="8"/>
        <v>0.93339427053083424</v>
      </c>
      <c r="AH8" s="30">
        <f t="shared" si="9"/>
        <v>0.92862239957532344</v>
      </c>
      <c r="AI8" s="30">
        <f t="shared" si="10"/>
        <v>0.86197309793507759</v>
      </c>
      <c r="AJ8" s="30">
        <f t="shared" si="11"/>
        <v>0.84687222835903653</v>
      </c>
    </row>
    <row r="9" spans="1:36" x14ac:dyDescent="0.25">
      <c r="A9" s="30"/>
      <c r="B9" s="30" t="s">
        <v>866</v>
      </c>
      <c r="C9" s="30">
        <v>7</v>
      </c>
      <c r="D9" s="30">
        <v>-71.739999999999995</v>
      </c>
      <c r="E9" s="30">
        <v>0.36826953291893</v>
      </c>
      <c r="F9" s="30">
        <v>1.09949171543121</v>
      </c>
      <c r="G9" s="30">
        <v>6.6606597900390598</v>
      </c>
      <c r="H9" s="30">
        <v>22.688560485839801</v>
      </c>
      <c r="I9" s="30">
        <v>1.11128950119018</v>
      </c>
      <c r="J9" s="30">
        <v>6.6929941177368102</v>
      </c>
      <c r="K9" s="30">
        <f t="shared" si="0"/>
        <v>30.373261757517248</v>
      </c>
      <c r="L9" s="30">
        <f t="shared" si="1"/>
        <v>82.475630054912926</v>
      </c>
      <c r="M9" s="30"/>
      <c r="N9" s="30"/>
      <c r="O9" s="30"/>
      <c r="P9" s="30">
        <v>22.9000740051269</v>
      </c>
      <c r="Q9" s="30">
        <v>24.663944244384702</v>
      </c>
      <c r="R9" s="30">
        <v>24.113273620605401</v>
      </c>
      <c r="S9" s="30">
        <v>24.3904609680175</v>
      </c>
      <c r="T9" s="30">
        <v>24.6263313293457</v>
      </c>
      <c r="U9" s="30">
        <v>22.8074340820312</v>
      </c>
      <c r="V9" s="30">
        <v>22.249465942382798</v>
      </c>
      <c r="W9" s="30">
        <v>22.6924018859863</v>
      </c>
      <c r="X9" s="30">
        <v>20.126071929931602</v>
      </c>
      <c r="Y9" s="30"/>
      <c r="Z9" s="30"/>
      <c r="AA9" s="30">
        <f t="shared" si="2"/>
        <v>1</v>
      </c>
      <c r="AB9" s="30">
        <f t="shared" si="3"/>
        <v>1.0770246523597655</v>
      </c>
      <c r="AC9" s="30">
        <f t="shared" si="4"/>
        <v>1.0529779779404593</v>
      </c>
      <c r="AD9" s="30">
        <f t="shared" si="5"/>
        <v>1.0650821898023968</v>
      </c>
      <c r="AE9" s="30">
        <f t="shared" si="6"/>
        <v>1.0753821722948285</v>
      </c>
      <c r="AF9" s="30">
        <f t="shared" si="7"/>
        <v>0.99595460158447702</v>
      </c>
      <c r="AG9" s="30">
        <f t="shared" si="8"/>
        <v>0.97158925937975382</v>
      </c>
      <c r="AH9" s="30">
        <f t="shared" si="9"/>
        <v>0.99093137781589236</v>
      </c>
      <c r="AI9" s="30">
        <f t="shared" si="10"/>
        <v>0.87886492966903729</v>
      </c>
      <c r="AJ9" s="30">
        <f t="shared" si="11"/>
        <v>0</v>
      </c>
    </row>
    <row r="10" spans="1:36" x14ac:dyDescent="0.25">
      <c r="A10" s="30"/>
      <c r="B10" s="30" t="s">
        <v>867</v>
      </c>
      <c r="C10" s="30">
        <v>8</v>
      </c>
      <c r="D10" s="30">
        <v>-73.650000000000006</v>
      </c>
      <c r="E10" s="30">
        <v>0.31796506047248801</v>
      </c>
      <c r="F10" s="30">
        <v>0.95173203945159901</v>
      </c>
      <c r="G10" s="30">
        <v>4.2640728950500399</v>
      </c>
      <c r="H10" s="30">
        <v>23.826866149902301</v>
      </c>
      <c r="I10" s="30">
        <v>1.0930541753768901</v>
      </c>
      <c r="J10" s="30">
        <v>4.7124333381652797</v>
      </c>
      <c r="K10" s="30">
        <f t="shared" si="0"/>
        <v>32.146852621670782</v>
      </c>
      <c r="L10" s="30">
        <f t="shared" si="1"/>
        <v>101.10183984964063</v>
      </c>
      <c r="M10" s="30"/>
      <c r="N10" s="30"/>
      <c r="O10" s="30"/>
      <c r="P10" s="30">
        <v>24.5626220703125</v>
      </c>
      <c r="Q10" s="30">
        <v>24.5195007324218</v>
      </c>
      <c r="R10" s="30">
        <v>26.3636474609375</v>
      </c>
      <c r="S10" s="30">
        <v>25.903148651123001</v>
      </c>
      <c r="T10" s="30">
        <v>24.096908569335898</v>
      </c>
      <c r="U10" s="30">
        <v>24.362472534179599</v>
      </c>
      <c r="V10" s="30">
        <v>23.3651428222656</v>
      </c>
      <c r="W10" s="30">
        <v>22.409812927246001</v>
      </c>
      <c r="X10" s="30">
        <v>21.750846862792901</v>
      </c>
      <c r="Y10" s="30">
        <v>19.917236328125</v>
      </c>
      <c r="Z10" s="30"/>
      <c r="AA10" s="30">
        <f t="shared" si="2"/>
        <v>1</v>
      </c>
      <c r="AB10" s="30">
        <f t="shared" si="3"/>
        <v>0.99824443262745888</v>
      </c>
      <c r="AC10" s="30">
        <f t="shared" si="4"/>
        <v>1.0733238245277485</v>
      </c>
      <c r="AD10" s="30">
        <f t="shared" si="5"/>
        <v>1.0545758745533411</v>
      </c>
      <c r="AE10" s="30">
        <f t="shared" si="6"/>
        <v>0.98103974813261141</v>
      </c>
      <c r="AF10" s="30">
        <f t="shared" si="7"/>
        <v>0.99185145887275561</v>
      </c>
      <c r="AG10" s="30">
        <f t="shared" si="8"/>
        <v>0.95124790648901336</v>
      </c>
      <c r="AH10" s="30">
        <f t="shared" si="9"/>
        <v>0.91235426181684076</v>
      </c>
      <c r="AI10" s="30">
        <f t="shared" si="10"/>
        <v>0.88552626020663983</v>
      </c>
      <c r="AJ10" s="30">
        <f t="shared" si="11"/>
        <v>0.81087582063145758</v>
      </c>
    </row>
    <row r="11" spans="1:36" x14ac:dyDescent="0.25">
      <c r="A11" s="30"/>
      <c r="B11" s="30" t="s">
        <v>868</v>
      </c>
      <c r="C11" s="30">
        <v>9</v>
      </c>
      <c r="D11" s="30">
        <v>-74.23</v>
      </c>
      <c r="E11" s="30">
        <v>0.30965557694435097</v>
      </c>
      <c r="F11" s="30">
        <v>1.0123530626296999</v>
      </c>
      <c r="G11" s="30">
        <v>4.5800576210021902</v>
      </c>
      <c r="H11" s="30">
        <v>23.589824676513601</v>
      </c>
      <c r="I11" s="30">
        <v>1.1150963306427</v>
      </c>
      <c r="J11" s="30">
        <v>5.0947446823120099</v>
      </c>
      <c r="K11" s="30">
        <f t="shared" si="0"/>
        <v>31.631710847793332</v>
      </c>
      <c r="L11" s="30">
        <f t="shared" si="1"/>
        <v>102.15127129287244</v>
      </c>
      <c r="M11" s="30"/>
      <c r="N11" s="30"/>
      <c r="O11" s="30"/>
      <c r="P11" s="30">
        <v>23.223098754882798</v>
      </c>
      <c r="Q11" s="30">
        <v>24.644260406494102</v>
      </c>
      <c r="R11" s="30">
        <v>25.421005249023398</v>
      </c>
      <c r="S11" s="30">
        <v>25.071941375732401</v>
      </c>
      <c r="T11" s="30">
        <v>23.939018249511701</v>
      </c>
      <c r="U11" s="30">
        <v>24.0864868164062</v>
      </c>
      <c r="V11" s="30">
        <v>21.797233581542901</v>
      </c>
      <c r="W11" s="30">
        <v>21.539047241210898</v>
      </c>
      <c r="X11" s="30">
        <v>21.711036682128899</v>
      </c>
      <c r="Y11" s="30">
        <v>19.525051116943299</v>
      </c>
      <c r="Z11" s="30"/>
      <c r="AA11" s="30">
        <f t="shared" si="2"/>
        <v>1</v>
      </c>
      <c r="AB11" s="30">
        <f t="shared" si="3"/>
        <v>1.0611960387634529</v>
      </c>
      <c r="AC11" s="30">
        <f t="shared" si="4"/>
        <v>1.0946431187904446</v>
      </c>
      <c r="AD11" s="30">
        <f t="shared" si="5"/>
        <v>1.07961222747937</v>
      </c>
      <c r="AE11" s="30">
        <f t="shared" si="6"/>
        <v>1.0308279055342853</v>
      </c>
      <c r="AF11" s="30">
        <f t="shared" si="7"/>
        <v>1.0371779869102038</v>
      </c>
      <c r="AG11" s="30">
        <f t="shared" si="8"/>
        <v>0.93860142488348586</v>
      </c>
      <c r="AH11" s="30">
        <f t="shared" si="9"/>
        <v>0.9274837724522953</v>
      </c>
      <c r="AI11" s="30">
        <f t="shared" si="10"/>
        <v>0.93488973677830234</v>
      </c>
      <c r="AJ11" s="30">
        <f t="shared" si="11"/>
        <v>0.84075994005055155</v>
      </c>
    </row>
    <row r="12" spans="1:36" x14ac:dyDescent="0.25">
      <c r="A12" s="30"/>
      <c r="B12" s="30" t="s">
        <v>869</v>
      </c>
      <c r="C12" s="30">
        <v>10</v>
      </c>
      <c r="D12" s="30">
        <v>-73.95</v>
      </c>
      <c r="E12" s="30">
        <v>0.22918322682380701</v>
      </c>
      <c r="F12" s="30">
        <v>0.92689144611358598</v>
      </c>
      <c r="G12" s="30">
        <v>4.3940300941467196</v>
      </c>
      <c r="H12" s="30">
        <v>19.497596740722599</v>
      </c>
      <c r="I12" s="30">
        <v>1.01464176177978</v>
      </c>
      <c r="J12" s="30">
        <v>4.5097460746765101</v>
      </c>
      <c r="K12" s="30">
        <f t="shared" si="0"/>
        <v>24.709507665700194</v>
      </c>
      <c r="L12" s="30">
        <f t="shared" si="1"/>
        <v>107.81551515851783</v>
      </c>
      <c r="M12" s="30"/>
      <c r="N12" s="30"/>
      <c r="O12" s="30"/>
      <c r="P12" s="30">
        <v>19.6548957824707</v>
      </c>
      <c r="Q12" s="30">
        <v>21.3788032531738</v>
      </c>
      <c r="R12" s="30">
        <v>20.8992309570312</v>
      </c>
      <c r="S12" s="30">
        <v>21.218391418456999</v>
      </c>
      <c r="T12" s="30">
        <v>19.060329437255799</v>
      </c>
      <c r="U12" s="30">
        <v>16.948451995849599</v>
      </c>
      <c r="V12" s="30">
        <v>17.9299507141113</v>
      </c>
      <c r="W12" s="30">
        <v>17.138301849365199</v>
      </c>
      <c r="X12" s="30">
        <v>15.089885711669901</v>
      </c>
      <c r="Y12" s="30">
        <v>15.9852447509765</v>
      </c>
      <c r="Z12" s="30"/>
      <c r="AA12" s="30">
        <f t="shared" si="2"/>
        <v>1</v>
      </c>
      <c r="AB12" s="30">
        <f t="shared" si="3"/>
        <v>1.0877088075043662</v>
      </c>
      <c r="AC12" s="30">
        <f t="shared" si="4"/>
        <v>1.063309171838513</v>
      </c>
      <c r="AD12" s="30">
        <f t="shared" si="5"/>
        <v>1.0795473887671645</v>
      </c>
      <c r="AE12" s="30">
        <f t="shared" si="6"/>
        <v>0.96974970756420054</v>
      </c>
      <c r="AF12" s="30">
        <f t="shared" si="7"/>
        <v>0.86230179917642436</v>
      </c>
      <c r="AG12" s="30">
        <f t="shared" si="8"/>
        <v>0.91223840169644654</v>
      </c>
      <c r="AH12" s="30">
        <f t="shared" si="9"/>
        <v>0.87196096275667179</v>
      </c>
      <c r="AI12" s="30">
        <f t="shared" si="10"/>
        <v>0.76774183280726815</v>
      </c>
      <c r="AJ12" s="30">
        <f t="shared" si="11"/>
        <v>0.8132958285758507</v>
      </c>
    </row>
    <row r="13" spans="1:36" x14ac:dyDescent="0.25">
      <c r="A13" s="30"/>
      <c r="B13" s="30" t="s">
        <v>870</v>
      </c>
      <c r="C13" s="30">
        <v>11</v>
      </c>
      <c r="D13" s="30">
        <v>-73.31</v>
      </c>
      <c r="E13" s="30">
        <v>0.27203974127769498</v>
      </c>
      <c r="F13" s="30">
        <v>1.1226884126663199</v>
      </c>
      <c r="G13" s="30">
        <v>4.7217168807983398</v>
      </c>
      <c r="H13" s="30">
        <v>17.627117156982401</v>
      </c>
      <c r="I13" s="30">
        <v>1.11096787452697</v>
      </c>
      <c r="J13" s="30">
        <v>4.9265980720520002</v>
      </c>
      <c r="K13" s="30">
        <f t="shared" si="0"/>
        <v>21.825382958755608</v>
      </c>
      <c r="L13" s="30">
        <f t="shared" si="1"/>
        <v>80.228656505288001</v>
      </c>
      <c r="M13" s="30"/>
      <c r="N13" s="30"/>
      <c r="O13" s="30"/>
      <c r="P13" s="30">
        <v>17.911556243896399</v>
      </c>
      <c r="Q13" s="30">
        <v>18.894359588623001</v>
      </c>
      <c r="R13" s="30">
        <v>18.992843627929599</v>
      </c>
      <c r="S13" s="30">
        <v>18.121410369873001</v>
      </c>
      <c r="T13" s="30">
        <v>18.128227233886701</v>
      </c>
      <c r="U13" s="30">
        <v>17.925468444824201</v>
      </c>
      <c r="V13" s="30">
        <v>17.6321601867675</v>
      </c>
      <c r="W13" s="30">
        <v>16.591350555419901</v>
      </c>
      <c r="X13" s="30">
        <v>16.219314575195298</v>
      </c>
      <c r="Y13" s="30">
        <v>16.248893737792901</v>
      </c>
      <c r="Z13" s="30"/>
      <c r="AA13" s="30">
        <f t="shared" si="2"/>
        <v>1</v>
      </c>
      <c r="AB13" s="30">
        <f t="shared" si="3"/>
        <v>1.0548697908402853</v>
      </c>
      <c r="AC13" s="30">
        <f t="shared" si="4"/>
        <v>1.060368142740342</v>
      </c>
      <c r="AD13" s="30">
        <f t="shared" si="5"/>
        <v>1.0117161302523956</v>
      </c>
      <c r="AE13" s="30">
        <f t="shared" si="6"/>
        <v>1.0120967149386662</v>
      </c>
      <c r="AF13" s="30">
        <f t="shared" si="7"/>
        <v>1.0007767164805985</v>
      </c>
      <c r="AG13" s="30">
        <f t="shared" si="8"/>
        <v>0.98440135221504788</v>
      </c>
      <c r="AH13" s="30">
        <f t="shared" si="9"/>
        <v>0.92629307746911294</v>
      </c>
      <c r="AI13" s="30">
        <f t="shared" si="10"/>
        <v>0.90552235407921322</v>
      </c>
      <c r="AJ13" s="30">
        <f t="shared" si="11"/>
        <v>0.90717375511856646</v>
      </c>
    </row>
    <row r="14" spans="1:36" x14ac:dyDescent="0.25">
      <c r="A14" s="30"/>
      <c r="B14" s="30" t="s">
        <v>871</v>
      </c>
      <c r="C14" s="30">
        <v>12</v>
      </c>
      <c r="D14" s="30">
        <v>-74.13</v>
      </c>
      <c r="E14" s="30">
        <v>0.229256942868233</v>
      </c>
      <c r="F14" s="30">
        <v>0.76206576824188199</v>
      </c>
      <c r="G14" s="30">
        <v>3.3336114883422798</v>
      </c>
      <c r="H14" s="30">
        <v>24.4716491699218</v>
      </c>
      <c r="I14" s="30">
        <v>0.83761864900589</v>
      </c>
      <c r="J14" s="30">
        <v>4.0650672912597603</v>
      </c>
      <c r="K14" s="30">
        <f t="shared" si="0"/>
        <v>33.253789380901296</v>
      </c>
      <c r="L14" s="30">
        <f t="shared" si="1"/>
        <v>145.05030453980248</v>
      </c>
      <c r="M14" s="30" t="s">
        <v>872</v>
      </c>
      <c r="N14" s="30"/>
      <c r="O14" s="30"/>
      <c r="P14" s="30">
        <v>24.879329681396399</v>
      </c>
      <c r="Q14" s="30">
        <v>27.6829109191894</v>
      </c>
      <c r="R14" s="30">
        <v>27.438419342041001</v>
      </c>
      <c r="S14" s="30">
        <v>26.8493118286132</v>
      </c>
      <c r="T14" s="30">
        <v>26.915290832519499</v>
      </c>
      <c r="U14" s="30">
        <v>24.993526458740199</v>
      </c>
      <c r="V14" s="30">
        <v>21.737888336181602</v>
      </c>
      <c r="W14" s="30">
        <v>20.382411956787099</v>
      </c>
      <c r="X14" s="30">
        <v>21.724727630615199</v>
      </c>
      <c r="Y14" s="30"/>
      <c r="Z14" s="30"/>
      <c r="AA14" s="30">
        <f t="shared" si="2"/>
        <v>1</v>
      </c>
      <c r="AB14" s="30">
        <f t="shared" si="3"/>
        <v>1.1126871693769702</v>
      </c>
      <c r="AC14" s="30">
        <f t="shared" si="4"/>
        <v>1.1028600727357285</v>
      </c>
      <c r="AD14" s="30">
        <f t="shared" si="5"/>
        <v>1.0791814800657535</v>
      </c>
      <c r="AE14" s="30">
        <f t="shared" si="6"/>
        <v>1.0818334407395829</v>
      </c>
      <c r="AF14" s="30">
        <f t="shared" si="7"/>
        <v>1.00459002629115</v>
      </c>
      <c r="AG14" s="30">
        <f t="shared" si="8"/>
        <v>0.87373287843989544</v>
      </c>
      <c r="AH14" s="30">
        <f t="shared" si="9"/>
        <v>0.81925084870868181</v>
      </c>
      <c r="AI14" s="30">
        <f t="shared" si="10"/>
        <v>0.87320389692250977</v>
      </c>
      <c r="AJ14" s="30">
        <f t="shared" si="11"/>
        <v>0</v>
      </c>
    </row>
    <row r="17" spans="5:12" x14ac:dyDescent="0.25">
      <c r="E17">
        <f>AVERAGE(E3:E14)</f>
        <v>0.31920620674888306</v>
      </c>
      <c r="K17">
        <f>AVERAGE(K3:K14)</f>
        <v>29.318366485253566</v>
      </c>
      <c r="L17">
        <f>AVERAGE(L3:L14)</f>
        <v>94.198450814179878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8372-6A53-48A5-895D-9038AE1AED7C}">
  <dimension ref="A1:AJ18"/>
  <sheetViews>
    <sheetView topLeftCell="L1" workbookViewId="0">
      <selection activeCell="AC3" sqref="AC3:AC15"/>
    </sheetView>
  </sheetViews>
  <sheetFormatPr defaultRowHeight="15" x14ac:dyDescent="0.25"/>
  <cols>
    <col min="1" max="1" width="12.5703125" customWidth="1"/>
  </cols>
  <sheetData>
    <row r="1" spans="1:36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36</v>
      </c>
      <c r="G1" t="s">
        <v>553</v>
      </c>
      <c r="H1" t="s">
        <v>8</v>
      </c>
      <c r="I1" t="s">
        <v>36</v>
      </c>
      <c r="J1" t="s">
        <v>553</v>
      </c>
      <c r="K1" t="s">
        <v>9</v>
      </c>
      <c r="L1" t="s">
        <v>10</v>
      </c>
      <c r="M1" t="s">
        <v>79</v>
      </c>
      <c r="N1" t="s">
        <v>110</v>
      </c>
      <c r="P1" t="s">
        <v>470</v>
      </c>
      <c r="AA1" t="s">
        <v>471</v>
      </c>
    </row>
    <row r="2" spans="1:36" x14ac:dyDescent="0.25">
      <c r="A2" s="9">
        <v>44587</v>
      </c>
      <c r="P2" t="s">
        <v>395</v>
      </c>
      <c r="Q2">
        <v>2</v>
      </c>
      <c r="R2">
        <v>3</v>
      </c>
      <c r="S2">
        <v>4</v>
      </c>
      <c r="T2">
        <v>5</v>
      </c>
      <c r="U2">
        <v>6</v>
      </c>
      <c r="V2">
        <v>7</v>
      </c>
      <c r="W2">
        <v>8</v>
      </c>
      <c r="X2">
        <v>9</v>
      </c>
      <c r="Y2">
        <v>10</v>
      </c>
      <c r="AA2" t="s">
        <v>395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  <c r="AH2">
        <v>8</v>
      </c>
      <c r="AI2">
        <v>9</v>
      </c>
      <c r="AJ2">
        <v>10</v>
      </c>
    </row>
    <row r="3" spans="1:36" x14ac:dyDescent="0.25">
      <c r="A3" s="30"/>
      <c r="B3" s="30" t="s">
        <v>764</v>
      </c>
      <c r="C3" s="30">
        <v>1</v>
      </c>
      <c r="D3" s="30">
        <v>-67.239999999999995</v>
      </c>
      <c r="E3" s="30">
        <v>0.311000376939774</v>
      </c>
      <c r="F3" s="30">
        <v>1.09257841110229</v>
      </c>
      <c r="G3" s="30">
        <v>5.3156461715698198</v>
      </c>
      <c r="H3" s="30">
        <v>16.898227691650298</v>
      </c>
      <c r="I3" s="30">
        <v>1.1621036529541</v>
      </c>
      <c r="J3" s="30">
        <v>7.1416420936584402</v>
      </c>
      <c r="K3" s="30">
        <f t="shared" ref="K3:K15" si="0">H3/(1-(0.8*(H3/(ABS(D3)))))</f>
        <v>21.150536890693605</v>
      </c>
      <c r="L3" s="30">
        <f t="shared" ref="L3:L15" si="1">K3/E3</f>
        <v>68.008074777315969</v>
      </c>
      <c r="M3" s="30"/>
      <c r="N3" s="30"/>
      <c r="O3" s="30"/>
      <c r="P3" s="30">
        <v>19.1960639953613</v>
      </c>
      <c r="Q3" s="30">
        <v>19.8581008911132</v>
      </c>
      <c r="R3" s="30">
        <v>20.816780090331999</v>
      </c>
      <c r="S3" s="30">
        <v>18.772075653076101</v>
      </c>
      <c r="T3" s="30">
        <v>17.564414978027301</v>
      </c>
      <c r="U3" s="30">
        <v>18.347038269042901</v>
      </c>
      <c r="V3" s="30">
        <v>18.1878662109375</v>
      </c>
      <c r="W3" s="30">
        <v>17.291847229003899</v>
      </c>
      <c r="X3" s="30">
        <v>14.8634986877441</v>
      </c>
      <c r="Y3" s="30">
        <v>16.609035491943299</v>
      </c>
      <c r="Z3" s="30"/>
      <c r="AA3" s="30">
        <f>P3/P3</f>
        <v>1</v>
      </c>
      <c r="AB3" s="30">
        <f>Q3/P3</f>
        <v>1.034488158401216</v>
      </c>
      <c r="AC3" s="30">
        <f>R3/P3</f>
        <v>1.0844296047024193</v>
      </c>
      <c r="AD3" s="30">
        <f>S3/P3</f>
        <v>0.97791274594689537</v>
      </c>
      <c r="AE3" s="30">
        <f>T3/P3</f>
        <v>0.91500085550202981</v>
      </c>
      <c r="AF3" s="30">
        <f>U3/P3</f>
        <v>0.95577084309973315</v>
      </c>
      <c r="AG3" s="30">
        <f>V3/P3</f>
        <v>0.94747893189627685</v>
      </c>
      <c r="AH3" s="30">
        <f>W3/P3</f>
        <v>0.9008017077450069</v>
      </c>
      <c r="AI3" s="30">
        <f>X3/P3</f>
        <v>0.77429928819448834</v>
      </c>
      <c r="AJ3" s="30">
        <f>Y3/P3</f>
        <v>0.86523130449850805</v>
      </c>
    </row>
    <row r="4" spans="1:36" x14ac:dyDescent="0.25">
      <c r="A4" s="30"/>
      <c r="B4" s="30" t="s">
        <v>765</v>
      </c>
      <c r="C4" s="30">
        <v>2</v>
      </c>
      <c r="D4" s="30">
        <v>-56.2</v>
      </c>
      <c r="E4" s="30">
        <v>0.83488279581069902</v>
      </c>
      <c r="F4" s="30">
        <v>1.52293765544891</v>
      </c>
      <c r="G4" s="30">
        <v>12.227687835693301</v>
      </c>
      <c r="H4" s="30">
        <v>15.1870460510253</v>
      </c>
      <c r="I4" s="30">
        <v>1.38830602169036</v>
      </c>
      <c r="J4" s="30">
        <v>11.040630340576101</v>
      </c>
      <c r="K4" s="30">
        <f t="shared" si="0"/>
        <v>19.375821828832219</v>
      </c>
      <c r="L4" s="30">
        <f t="shared" si="1"/>
        <v>23.207834591941317</v>
      </c>
      <c r="M4" s="30" t="s">
        <v>766</v>
      </c>
      <c r="N4" s="30"/>
      <c r="O4" s="30"/>
      <c r="P4" s="30">
        <v>13.375591278076101</v>
      </c>
      <c r="Q4" s="30">
        <v>17.383567810058501</v>
      </c>
      <c r="R4" s="30">
        <v>17.4400329589843</v>
      </c>
      <c r="S4" s="30">
        <v>17.5097541809082</v>
      </c>
      <c r="T4" s="30">
        <v>16.112018585205</v>
      </c>
      <c r="U4" s="30">
        <v>17.328208923339801</v>
      </c>
      <c r="V4" s="30">
        <v>16.607944488525298</v>
      </c>
      <c r="W4" s="30">
        <v>14.106349945068301</v>
      </c>
      <c r="X4" s="30">
        <v>14.234855651855399</v>
      </c>
      <c r="Y4" s="30">
        <v>14.5631103515625</v>
      </c>
      <c r="Z4" s="30"/>
      <c r="AA4" s="30">
        <f t="shared" ref="AA4:AA15" si="2">P4/P4</f>
        <v>1</v>
      </c>
      <c r="AB4" s="30">
        <f t="shared" ref="AB4:AB15" si="3">Q4/P4</f>
        <v>1.2996485500085417</v>
      </c>
      <c r="AC4" s="30">
        <f t="shared" ref="AC4:AC15" si="4">R4/P4</f>
        <v>1.3038700567630395</v>
      </c>
      <c r="AD4" s="30">
        <f t="shared" ref="AD4:AD15" si="5">S4/P4</f>
        <v>1.309082627966391</v>
      </c>
      <c r="AE4" s="30">
        <f t="shared" ref="AE4:AE15" si="6">T4/P4</f>
        <v>1.2045836516860506</v>
      </c>
      <c r="AF4" s="30">
        <f t="shared" ref="AF4:AF15" si="7">U4/P4</f>
        <v>1.2955097507907876</v>
      </c>
      <c r="AG4" s="30">
        <f t="shared" ref="AG4:AG15" si="8">V4/P4</f>
        <v>1.241660584810732</v>
      </c>
      <c r="AH4" s="30">
        <f t="shared" ref="AH4:AH15" si="9">W4/P4</f>
        <v>1.0546337467854587</v>
      </c>
      <c r="AI4" s="30">
        <f t="shared" ref="AI4:AI15" si="10">X4/P4</f>
        <v>1.064241225372049</v>
      </c>
      <c r="AJ4" s="30">
        <f t="shared" ref="AJ4:AJ15" si="11">Y4/P4</f>
        <v>1.0887825479111983</v>
      </c>
    </row>
    <row r="5" spans="1:36" x14ac:dyDescent="0.25">
      <c r="A5" s="30"/>
      <c r="B5" s="30" t="s">
        <v>767</v>
      </c>
      <c r="C5" s="30">
        <v>3</v>
      </c>
      <c r="D5" s="30">
        <v>-55.49</v>
      </c>
      <c r="E5" s="30">
        <v>0.188387900590897</v>
      </c>
      <c r="F5" s="30">
        <v>1.27182221412658</v>
      </c>
      <c r="G5" s="30">
        <v>2.3097295761108398</v>
      </c>
      <c r="H5" s="30">
        <v>7.5096130371093697</v>
      </c>
      <c r="I5" s="30">
        <v>1.1434621810912999</v>
      </c>
      <c r="J5" s="30">
        <v>5.8890614509582502</v>
      </c>
      <c r="K5" s="30">
        <f t="shared" si="0"/>
        <v>8.4213617158890273</v>
      </c>
      <c r="L5" s="30">
        <f t="shared" si="1"/>
        <v>44.702243028743389</v>
      </c>
      <c r="M5" s="30" t="s">
        <v>768</v>
      </c>
      <c r="N5" s="30"/>
      <c r="O5" s="30"/>
      <c r="P5" s="30">
        <v>7.2241249084472603</v>
      </c>
      <c r="Q5" s="30">
        <v>8.3979873657226491</v>
      </c>
      <c r="R5" s="30">
        <v>9.3025054931640607</v>
      </c>
      <c r="S5" s="30">
        <v>8.8042068481445295</v>
      </c>
      <c r="T5" s="30">
        <v>9.3639488220214808</v>
      </c>
      <c r="U5" s="30">
        <v>9.0541267395019496</v>
      </c>
      <c r="V5" s="30">
        <v>7.9367599487304599</v>
      </c>
      <c r="W5" s="30">
        <v>7.8985328674316397</v>
      </c>
      <c r="X5" s="30">
        <v>6.1407585144042898</v>
      </c>
      <c r="Y5" s="30">
        <v>7.214599609375</v>
      </c>
      <c r="Z5" s="30"/>
      <c r="AA5" s="30">
        <f t="shared" si="2"/>
        <v>1</v>
      </c>
      <c r="AB5" s="30">
        <f t="shared" si="3"/>
        <v>1.1624919934458464</v>
      </c>
      <c r="AC5" s="30">
        <f t="shared" si="4"/>
        <v>1.2876999790364261</v>
      </c>
      <c r="AD5" s="30">
        <f t="shared" si="5"/>
        <v>1.2187229539524793</v>
      </c>
      <c r="AE5" s="30">
        <f t="shared" si="6"/>
        <v>1.2962052761673732</v>
      </c>
      <c r="AF5" s="30">
        <f t="shared" si="7"/>
        <v>1.2533181325415408</v>
      </c>
      <c r="AG5" s="30">
        <f t="shared" si="8"/>
        <v>1.0986465557163756</v>
      </c>
      <c r="AH5" s="30">
        <f t="shared" si="9"/>
        <v>1.0933549692912681</v>
      </c>
      <c r="AI5" s="30">
        <f t="shared" si="10"/>
        <v>0.85003493049017242</v>
      </c>
      <c r="AJ5" s="30">
        <f t="shared" si="11"/>
        <v>0.99868145980406264</v>
      </c>
    </row>
    <row r="6" spans="1:36" x14ac:dyDescent="0.25">
      <c r="A6" s="30"/>
      <c r="B6" s="30" t="s">
        <v>769</v>
      </c>
      <c r="C6" s="30">
        <v>4</v>
      </c>
      <c r="D6" s="30">
        <v>-72.23</v>
      </c>
      <c r="E6" s="30">
        <v>0.27989009022712702</v>
      </c>
      <c r="F6" s="30">
        <v>1.2072627544403001</v>
      </c>
      <c r="G6" s="30">
        <v>6.5117263793945304</v>
      </c>
      <c r="H6" s="30">
        <v>14.9641876220703</v>
      </c>
      <c r="I6" s="30">
        <v>1.25323438644409</v>
      </c>
      <c r="J6" s="30">
        <v>8.1780748367309499</v>
      </c>
      <c r="K6" s="30">
        <f t="shared" si="0"/>
        <v>17.937064200638481</v>
      </c>
      <c r="L6" s="30">
        <f t="shared" si="1"/>
        <v>64.08609960460835</v>
      </c>
      <c r="M6" s="30"/>
      <c r="N6" s="30"/>
      <c r="O6" s="30"/>
      <c r="P6" s="30">
        <v>14.0850067138671</v>
      </c>
      <c r="Q6" s="30">
        <v>17.194820404052699</v>
      </c>
      <c r="R6" s="30">
        <v>19.310520172119102</v>
      </c>
      <c r="S6" s="30">
        <v>18.132457733154201</v>
      </c>
      <c r="T6" s="30">
        <v>18.349494934081999</v>
      </c>
      <c r="U6" s="30">
        <v>17.329204559326101</v>
      </c>
      <c r="V6" s="30">
        <v>18.161693572998001</v>
      </c>
      <c r="W6" s="30">
        <v>17.230461120605401</v>
      </c>
      <c r="X6" s="30">
        <v>16.719173431396399</v>
      </c>
      <c r="Y6" s="30">
        <v>16.866744995117099</v>
      </c>
      <c r="Z6" s="30"/>
      <c r="AA6" s="30">
        <f t="shared" si="2"/>
        <v>1</v>
      </c>
      <c r="AB6" s="30">
        <f t="shared" si="3"/>
        <v>1.2207889391436282</v>
      </c>
      <c r="AC6" s="30">
        <f t="shared" si="4"/>
        <v>1.3709982937464511</v>
      </c>
      <c r="AD6" s="30">
        <f t="shared" si="5"/>
        <v>1.2873588278308925</v>
      </c>
      <c r="AE6" s="30">
        <f t="shared" si="6"/>
        <v>1.3027679224331774</v>
      </c>
      <c r="AF6" s="30">
        <f t="shared" si="7"/>
        <v>1.2303298756872436</v>
      </c>
      <c r="AG6" s="30">
        <f t="shared" si="8"/>
        <v>1.2894344988218773</v>
      </c>
      <c r="AH6" s="30">
        <f t="shared" si="9"/>
        <v>1.2233193402486282</v>
      </c>
      <c r="AI6" s="30">
        <f t="shared" si="10"/>
        <v>1.187019202123339</v>
      </c>
      <c r="AJ6" s="30">
        <f t="shared" si="11"/>
        <v>1.1974964114508584</v>
      </c>
    </row>
    <row r="7" spans="1:36" x14ac:dyDescent="0.25">
      <c r="A7" s="30"/>
      <c r="B7" s="30" t="s">
        <v>770</v>
      </c>
      <c r="C7" s="30">
        <v>6</v>
      </c>
      <c r="D7" s="30">
        <v>-63.05</v>
      </c>
      <c r="E7" s="30">
        <v>0.39950409531593301</v>
      </c>
      <c r="F7" s="30">
        <v>0.96983855962753296</v>
      </c>
      <c r="G7" s="30">
        <v>5.4764914512634197</v>
      </c>
      <c r="H7" s="30">
        <v>17.807899475097599</v>
      </c>
      <c r="I7" s="30">
        <v>1.0499569177627499</v>
      </c>
      <c r="J7" s="30">
        <v>7.7455635070800701</v>
      </c>
      <c r="K7" s="30">
        <f t="shared" si="0"/>
        <v>23.006216995195626</v>
      </c>
      <c r="L7" s="30">
        <f t="shared" si="1"/>
        <v>57.586936566950612</v>
      </c>
      <c r="M7" s="30"/>
      <c r="N7" s="30"/>
      <c r="O7" s="30"/>
      <c r="P7" s="30">
        <v>17.221439361572202</v>
      </c>
      <c r="Q7" s="30">
        <v>19.798503875732401</v>
      </c>
      <c r="R7" s="30">
        <v>20.995311737060501</v>
      </c>
      <c r="S7" s="30">
        <v>20.512508392333899</v>
      </c>
      <c r="T7" s="30">
        <v>20.499599456787099</v>
      </c>
      <c r="U7" s="30">
        <v>21.518226623535099</v>
      </c>
      <c r="V7" s="30">
        <v>20.4793891906738</v>
      </c>
      <c r="W7" s="30">
        <v>19.218635559081999</v>
      </c>
      <c r="X7" s="30">
        <v>18.8779792785644</v>
      </c>
      <c r="Y7" s="30">
        <v>18.398361206054599</v>
      </c>
      <c r="Z7" s="30"/>
      <c r="AA7" s="30">
        <f t="shared" si="2"/>
        <v>1</v>
      </c>
      <c r="AB7" s="30">
        <f t="shared" si="3"/>
        <v>1.1496428062749877</v>
      </c>
      <c r="AC7" s="30">
        <f t="shared" si="4"/>
        <v>1.2191380346470511</v>
      </c>
      <c r="AD7" s="30">
        <f t="shared" si="5"/>
        <v>1.191103017678381</v>
      </c>
      <c r="AE7" s="30">
        <f t="shared" si="6"/>
        <v>1.1903534325086531</v>
      </c>
      <c r="AF7" s="30">
        <f t="shared" si="7"/>
        <v>1.2495022147539374</v>
      </c>
      <c r="AG7" s="30">
        <f t="shared" si="8"/>
        <v>1.1891798798404367</v>
      </c>
      <c r="AH7" s="30">
        <f t="shared" si="9"/>
        <v>1.1159715024730352</v>
      </c>
      <c r="AI7" s="30">
        <f t="shared" si="10"/>
        <v>1.0961905612075951</v>
      </c>
      <c r="AJ7" s="30">
        <f t="shared" si="11"/>
        <v>1.0683405039365392</v>
      </c>
    </row>
    <row r="8" spans="1:36" x14ac:dyDescent="0.25">
      <c r="A8" s="30"/>
      <c r="B8" s="30" t="s">
        <v>771</v>
      </c>
      <c r="C8" s="30">
        <v>7</v>
      </c>
      <c r="D8" s="30">
        <v>-71.06</v>
      </c>
      <c r="E8" s="30">
        <v>0.24043433368205999</v>
      </c>
      <c r="F8" s="30">
        <v>1.0324356555938701</v>
      </c>
      <c r="G8" s="30">
        <v>2.8311007022857599</v>
      </c>
      <c r="H8" s="30">
        <v>17.271377563476499</v>
      </c>
      <c r="I8" s="30">
        <v>0.94834667444229104</v>
      </c>
      <c r="J8" s="30">
        <v>4.8985438346862704</v>
      </c>
      <c r="K8" s="30">
        <f t="shared" si="0"/>
        <v>21.440285758233333</v>
      </c>
      <c r="L8" s="30">
        <f t="shared" si="1"/>
        <v>89.173145240500645</v>
      </c>
      <c r="M8" s="30"/>
      <c r="N8" s="30"/>
      <c r="O8" s="30"/>
      <c r="P8" s="30">
        <v>16.895183563232401</v>
      </c>
      <c r="Q8" s="30">
        <v>19.115089416503899</v>
      </c>
      <c r="R8" s="30">
        <v>20.2934875488281</v>
      </c>
      <c r="S8" s="30">
        <v>22.320110321044901</v>
      </c>
      <c r="T8" s="30">
        <v>21.753025054931602</v>
      </c>
      <c r="U8" s="30">
        <v>20.730869293212798</v>
      </c>
      <c r="V8" s="30">
        <v>21.575084686279201</v>
      </c>
      <c r="W8" s="30">
        <v>18.8684883117675</v>
      </c>
      <c r="X8" s="30">
        <v>19.8062629699707</v>
      </c>
      <c r="Y8" s="30">
        <v>18.539737701416001</v>
      </c>
      <c r="Z8" s="30"/>
      <c r="AA8" s="30">
        <f t="shared" si="2"/>
        <v>1</v>
      </c>
      <c r="AB8" s="30">
        <f t="shared" si="3"/>
        <v>1.1313928223959933</v>
      </c>
      <c r="AC8" s="30">
        <f t="shared" si="4"/>
        <v>1.2011404003322668</v>
      </c>
      <c r="AD8" s="30">
        <f t="shared" si="5"/>
        <v>1.3210930936328105</v>
      </c>
      <c r="AE8" s="30">
        <f t="shared" si="6"/>
        <v>1.2875281865697465</v>
      </c>
      <c r="AF8" s="30">
        <f t="shared" si="7"/>
        <v>1.2270283548932659</v>
      </c>
      <c r="AG8" s="30">
        <f t="shared" si="8"/>
        <v>1.2769961690875786</v>
      </c>
      <c r="AH8" s="30">
        <f t="shared" si="9"/>
        <v>1.1167968812620326</v>
      </c>
      <c r="AI8" s="30">
        <f t="shared" si="10"/>
        <v>1.1723023248515301</v>
      </c>
      <c r="AJ8" s="30">
        <f t="shared" si="11"/>
        <v>1.0973386368978262</v>
      </c>
    </row>
    <row r="9" spans="1:36" x14ac:dyDescent="0.25">
      <c r="A9" s="30"/>
      <c r="B9" s="30" t="s">
        <v>772</v>
      </c>
      <c r="C9" s="30">
        <v>8</v>
      </c>
      <c r="D9" s="30">
        <v>-72.44</v>
      </c>
      <c r="E9" s="30">
        <v>0.20841942727565799</v>
      </c>
      <c r="F9" s="30">
        <v>1.32155537605285</v>
      </c>
      <c r="G9" s="30">
        <v>2.8654744625091499</v>
      </c>
      <c r="H9" s="30">
        <v>12.6315193176269</v>
      </c>
      <c r="I9" s="30">
        <v>1.09571921825408</v>
      </c>
      <c r="J9" s="30">
        <v>5.2251334190368599</v>
      </c>
      <c r="K9" s="30">
        <f t="shared" si="0"/>
        <v>14.679239946600568</v>
      </c>
      <c r="L9" s="30">
        <f t="shared" si="1"/>
        <v>70.431245966267966</v>
      </c>
      <c r="M9" s="30" t="s">
        <v>478</v>
      </c>
      <c r="N9" s="30"/>
      <c r="O9" s="30"/>
      <c r="P9" s="30">
        <v>12.8648414611816</v>
      </c>
      <c r="Q9" s="30">
        <v>14.606090545654199</v>
      </c>
      <c r="R9" s="30">
        <v>15.460792541503899</v>
      </c>
      <c r="S9" s="30">
        <v>15.7247505187988</v>
      </c>
      <c r="T9" s="30">
        <v>15.8864135742187</v>
      </c>
      <c r="U9" s="30">
        <v>14.2647285461425</v>
      </c>
      <c r="V9" s="30">
        <v>14.542228698730399</v>
      </c>
      <c r="W9" s="30">
        <v>13.9732322692871</v>
      </c>
      <c r="X9" s="30">
        <v>13.8681869506835</v>
      </c>
      <c r="Y9" s="30">
        <v>12.8506507873535</v>
      </c>
      <c r="Z9" s="30"/>
      <c r="AA9" s="30">
        <f t="shared" si="2"/>
        <v>1</v>
      </c>
      <c r="AB9" s="30">
        <f t="shared" si="3"/>
        <v>1.1353494397678081</v>
      </c>
      <c r="AC9" s="30">
        <f t="shared" si="4"/>
        <v>1.201786480475125</v>
      </c>
      <c r="AD9" s="30">
        <f t="shared" si="5"/>
        <v>1.2223042597335301</v>
      </c>
      <c r="AE9" s="30">
        <f t="shared" si="6"/>
        <v>1.2348705284984971</v>
      </c>
      <c r="AF9" s="30">
        <f t="shared" si="7"/>
        <v>1.1088149503579132</v>
      </c>
      <c r="AG9" s="30">
        <f t="shared" si="8"/>
        <v>1.1303853796107906</v>
      </c>
      <c r="AH9" s="30">
        <f t="shared" si="9"/>
        <v>1.086156585096673</v>
      </c>
      <c r="AI9" s="30">
        <f t="shared" si="10"/>
        <v>1.0779912828719573</v>
      </c>
      <c r="AJ9" s="30">
        <f t="shared" si="11"/>
        <v>0.99889694141424756</v>
      </c>
    </row>
    <row r="10" spans="1:36" x14ac:dyDescent="0.25">
      <c r="A10" s="30" t="s">
        <v>773</v>
      </c>
      <c r="B10" s="30" t="s">
        <v>774</v>
      </c>
      <c r="C10" s="30">
        <v>10</v>
      </c>
      <c r="D10" s="30">
        <v>-60.8</v>
      </c>
      <c r="E10" s="30">
        <v>0.16995675861835499</v>
      </c>
      <c r="F10" s="30">
        <v>0.71245330572128296</v>
      </c>
      <c r="G10" s="30">
        <v>3.7710504531860298</v>
      </c>
      <c r="H10" s="30">
        <v>10.9815216064453</v>
      </c>
      <c r="I10" s="30">
        <v>0.97655785083770796</v>
      </c>
      <c r="J10" s="30">
        <v>4.8618097305297798</v>
      </c>
      <c r="K10" s="30">
        <f t="shared" si="0"/>
        <v>12.836283818241069</v>
      </c>
      <c r="L10" s="30">
        <f t="shared" si="1"/>
        <v>75.526762940128094</v>
      </c>
      <c r="M10" s="30"/>
      <c r="N10" s="30"/>
      <c r="O10" s="30"/>
      <c r="P10" s="30">
        <v>11.305431365966699</v>
      </c>
      <c r="Q10" s="30">
        <v>12.441062927246</v>
      </c>
      <c r="R10" s="30">
        <v>12.4539985656738</v>
      </c>
      <c r="S10" s="30">
        <v>11.579963684081999</v>
      </c>
      <c r="T10" s="30">
        <v>11.814144134521401</v>
      </c>
      <c r="U10" s="30">
        <v>11.3493537902832</v>
      </c>
      <c r="V10" s="30">
        <v>11.206314086914</v>
      </c>
      <c r="W10" s="30">
        <v>10.0087547302246</v>
      </c>
      <c r="X10" s="30">
        <v>10.5121536254882</v>
      </c>
      <c r="Y10" s="30">
        <v>9.62548828125</v>
      </c>
      <c r="Z10" s="30"/>
      <c r="AA10" s="30">
        <f t="shared" si="2"/>
        <v>1</v>
      </c>
      <c r="AB10" s="30">
        <f t="shared" si="3"/>
        <v>1.1004500867342355</v>
      </c>
      <c r="AC10" s="30">
        <f t="shared" si="4"/>
        <v>1.101594283537441</v>
      </c>
      <c r="AD10" s="30">
        <f t="shared" si="5"/>
        <v>1.0242832236319384</v>
      </c>
      <c r="AE10" s="30">
        <f t="shared" si="6"/>
        <v>1.0449972010874442</v>
      </c>
      <c r="AF10" s="30">
        <f t="shared" si="7"/>
        <v>1.0038850728375321</v>
      </c>
      <c r="AG10" s="30">
        <f t="shared" si="8"/>
        <v>0.99123277335961935</v>
      </c>
      <c r="AH10" s="30">
        <f t="shared" si="9"/>
        <v>0.88530498361649879</v>
      </c>
      <c r="AI10" s="30">
        <f t="shared" si="10"/>
        <v>0.92983215635039429</v>
      </c>
      <c r="AJ10" s="30">
        <f t="shared" si="11"/>
        <v>0.85140389337341738</v>
      </c>
    </row>
    <row r="11" spans="1:36" x14ac:dyDescent="0.25">
      <c r="A11" s="30"/>
      <c r="B11" s="30" t="s">
        <v>775</v>
      </c>
      <c r="C11" s="30">
        <v>11</v>
      </c>
      <c r="D11" s="30">
        <v>-57.84</v>
      </c>
      <c r="E11" s="30">
        <v>0.18285609781742099</v>
      </c>
      <c r="F11" s="30">
        <v>0.85423994064331099</v>
      </c>
      <c r="G11" s="30">
        <v>3.6349081993103001</v>
      </c>
      <c r="H11" s="30">
        <v>8.4797554016113192</v>
      </c>
      <c r="I11" s="30">
        <v>0.91998046636581399</v>
      </c>
      <c r="J11" s="30">
        <v>4.2607979774475098</v>
      </c>
      <c r="K11" s="30">
        <f t="shared" si="0"/>
        <v>9.6064551208563902</v>
      </c>
      <c r="L11" s="30">
        <f t="shared" si="1"/>
        <v>52.535601686350589</v>
      </c>
      <c r="M11" s="30" t="s">
        <v>776</v>
      </c>
      <c r="N11" s="30"/>
      <c r="O11" s="30"/>
      <c r="P11" s="30">
        <v>7.3599395751953098</v>
      </c>
      <c r="Q11" s="30">
        <v>8.3094215393066406</v>
      </c>
      <c r="R11" s="30">
        <v>8.8693771362304599</v>
      </c>
      <c r="S11" s="30">
        <v>8.6221809387206996</v>
      </c>
      <c r="T11" s="30">
        <v>8.0599861145019496</v>
      </c>
      <c r="U11" s="30">
        <v>8.2827377319335902</v>
      </c>
      <c r="V11" s="30">
        <v>7.3616523742675701</v>
      </c>
      <c r="W11" s="30">
        <v>6.8449668884277299</v>
      </c>
      <c r="X11" s="30">
        <v>7.3046913146972603</v>
      </c>
      <c r="Y11" s="30">
        <v>6.4855194091796804</v>
      </c>
      <c r="Z11" s="30"/>
      <c r="AA11" s="30">
        <f t="shared" si="2"/>
        <v>1</v>
      </c>
      <c r="AB11" s="30">
        <f t="shared" si="3"/>
        <v>1.129006760777127</v>
      </c>
      <c r="AC11" s="30">
        <f t="shared" si="4"/>
        <v>1.2050883088934998</v>
      </c>
      <c r="AD11" s="30">
        <f t="shared" si="5"/>
        <v>1.1715015932711503</v>
      </c>
      <c r="AE11" s="30">
        <f t="shared" si="6"/>
        <v>1.095115799817971</v>
      </c>
      <c r="AF11" s="30">
        <f t="shared" si="7"/>
        <v>1.1253812137056562</v>
      </c>
      <c r="AG11" s="30">
        <f t="shared" si="8"/>
        <v>1.000232719175852</v>
      </c>
      <c r="AH11" s="30">
        <f t="shared" si="9"/>
        <v>0.93003031050646712</v>
      </c>
      <c r="AI11" s="30">
        <f t="shared" si="10"/>
        <v>0.99249338123858399</v>
      </c>
      <c r="AJ11" s="30">
        <f t="shared" si="11"/>
        <v>0.88119193682477681</v>
      </c>
    </row>
    <row r="12" spans="1:36" x14ac:dyDescent="0.25">
      <c r="A12" s="30"/>
      <c r="B12" s="30" t="s">
        <v>777</v>
      </c>
      <c r="C12" s="30">
        <v>12</v>
      </c>
      <c r="D12" s="30">
        <v>-71.099999999999994</v>
      </c>
      <c r="E12" s="30">
        <v>0.12246621400117901</v>
      </c>
      <c r="F12" s="30">
        <v>0.72697478532791104</v>
      </c>
      <c r="G12" s="30">
        <v>3.2629933357238698</v>
      </c>
      <c r="H12" s="30">
        <v>7.8484954833984304</v>
      </c>
      <c r="I12" s="30">
        <v>0.90260529518127397</v>
      </c>
      <c r="J12" s="30">
        <v>4.4789323806762704</v>
      </c>
      <c r="K12" s="30">
        <f t="shared" si="0"/>
        <v>8.6087267400769729</v>
      </c>
      <c r="L12" s="30">
        <f t="shared" si="1"/>
        <v>70.294707893836701</v>
      </c>
      <c r="M12" s="30" t="s">
        <v>778</v>
      </c>
      <c r="N12" s="30"/>
      <c r="O12" s="30"/>
      <c r="P12" s="30">
        <v>7.5922698974609304</v>
      </c>
      <c r="Q12" s="30">
        <v>9.1105575561523402</v>
      </c>
      <c r="R12" s="30">
        <v>8.9785842895507795</v>
      </c>
      <c r="S12" s="30">
        <v>9.0860214233398402</v>
      </c>
      <c r="T12" s="30">
        <v>8.8268661499023402</v>
      </c>
      <c r="U12" s="30">
        <v>8.3984642028808505</v>
      </c>
      <c r="V12" s="30">
        <v>7.6888961791992099</v>
      </c>
      <c r="W12" s="30">
        <v>8.2735519409179599</v>
      </c>
      <c r="X12" s="30">
        <v>7.47613525390625</v>
      </c>
      <c r="Y12" s="30">
        <v>7.6458663940429599</v>
      </c>
      <c r="Z12" s="30"/>
      <c r="AA12" s="30">
        <f t="shared" si="2"/>
        <v>1</v>
      </c>
      <c r="AB12" s="30">
        <f t="shared" si="3"/>
        <v>1.1999780934024973</v>
      </c>
      <c r="AC12" s="30">
        <f t="shared" si="4"/>
        <v>1.1825955097504466</v>
      </c>
      <c r="AD12" s="30">
        <f t="shared" si="5"/>
        <v>1.1967463678258412</v>
      </c>
      <c r="AE12" s="30">
        <f t="shared" si="6"/>
        <v>1.1626122713122058</v>
      </c>
      <c r="AF12" s="30">
        <f t="shared" si="7"/>
        <v>1.1061862020592201</v>
      </c>
      <c r="AG12" s="30">
        <f t="shared" si="8"/>
        <v>1.0127269292376704</v>
      </c>
      <c r="AH12" s="30">
        <f t="shared" si="9"/>
        <v>1.0897336439112721</v>
      </c>
      <c r="AI12" s="30">
        <f t="shared" si="10"/>
        <v>0.98470356755974664</v>
      </c>
      <c r="AJ12" s="30">
        <f t="shared" si="11"/>
        <v>1.0070593508009975</v>
      </c>
    </row>
    <row r="13" spans="1:36" x14ac:dyDescent="0.25">
      <c r="A13" s="30"/>
      <c r="B13" s="30" t="s">
        <v>779</v>
      </c>
      <c r="C13" s="30">
        <v>13</v>
      </c>
      <c r="D13" s="30">
        <v>-71.849999999999994</v>
      </c>
      <c r="E13" s="30">
        <v>0.183000728487968</v>
      </c>
      <c r="F13" s="30">
        <v>0.82963103055954002</v>
      </c>
      <c r="G13" s="30">
        <v>4.00380039215087</v>
      </c>
      <c r="H13" s="30">
        <v>9.6389503479003906</v>
      </c>
      <c r="I13" s="30">
        <v>0.89739304780960105</v>
      </c>
      <c r="J13" s="30">
        <v>4.1928896903991699</v>
      </c>
      <c r="K13" s="30">
        <f t="shared" si="0"/>
        <v>10.797803413686482</v>
      </c>
      <c r="L13" s="30">
        <f t="shared" si="1"/>
        <v>59.004155354476744</v>
      </c>
      <c r="M13" s="30"/>
      <c r="N13" s="30"/>
      <c r="O13" s="30"/>
      <c r="P13" s="30">
        <v>8.8393516540527308</v>
      </c>
      <c r="Q13" s="30">
        <v>11.360595703125</v>
      </c>
      <c r="R13" s="30">
        <v>11.865493774414</v>
      </c>
      <c r="S13" s="30">
        <v>11.635684967041</v>
      </c>
      <c r="T13" s="30">
        <v>11.0887641906738</v>
      </c>
      <c r="U13" s="30">
        <v>11.1475296020507</v>
      </c>
      <c r="V13" s="30">
        <v>10.1032562255859</v>
      </c>
      <c r="W13" s="30">
        <v>11.505256652831999</v>
      </c>
      <c r="X13" s="30">
        <v>10.447280883789</v>
      </c>
      <c r="Y13" s="30">
        <v>10.1944313049316</v>
      </c>
      <c r="Z13" s="30"/>
      <c r="AA13" s="30">
        <f t="shared" si="2"/>
        <v>1</v>
      </c>
      <c r="AB13" s="30">
        <f t="shared" si="3"/>
        <v>1.2852295222259102</v>
      </c>
      <c r="AC13" s="30">
        <f t="shared" si="4"/>
        <v>1.3423488779263377</v>
      </c>
      <c r="AD13" s="30">
        <f t="shared" si="5"/>
        <v>1.3163504997231539</v>
      </c>
      <c r="AE13" s="30">
        <f t="shared" si="6"/>
        <v>1.2544770956803988</v>
      </c>
      <c r="AF13" s="30">
        <f t="shared" si="7"/>
        <v>1.2611252542418876</v>
      </c>
      <c r="AG13" s="30">
        <f t="shared" si="8"/>
        <v>1.1429861171948834</v>
      </c>
      <c r="AH13" s="30">
        <f t="shared" si="9"/>
        <v>1.3015950833404151</v>
      </c>
      <c r="AI13" s="30">
        <f t="shared" si="10"/>
        <v>1.181905788191949</v>
      </c>
      <c r="AJ13" s="30">
        <f t="shared" si="11"/>
        <v>1.153300796700127</v>
      </c>
    </row>
    <row r="14" spans="1:36" x14ac:dyDescent="0.25">
      <c r="A14" s="30"/>
      <c r="B14" s="30" t="s">
        <v>780</v>
      </c>
      <c r="C14" s="30">
        <v>14</v>
      </c>
      <c r="D14" s="30">
        <v>-73.41</v>
      </c>
      <c r="E14" s="30">
        <v>0.264334946870804</v>
      </c>
      <c r="F14" s="30">
        <v>0.56053137779235795</v>
      </c>
      <c r="G14" s="30">
        <v>3.2200152873992902</v>
      </c>
      <c r="H14" s="30">
        <v>15.742897033691399</v>
      </c>
      <c r="I14" s="30">
        <v>0.74440783262252797</v>
      </c>
      <c r="J14" s="30">
        <v>3.7522959709167401</v>
      </c>
      <c r="K14" s="30">
        <f t="shared" si="0"/>
        <v>19.003093053437123</v>
      </c>
      <c r="L14" s="30">
        <f t="shared" si="1"/>
        <v>71.89020323795873</v>
      </c>
      <c r="M14" s="30"/>
      <c r="N14" s="30"/>
      <c r="O14" s="30"/>
      <c r="P14" s="30">
        <v>13.189628601074199</v>
      </c>
      <c r="Q14" s="30">
        <v>18.396621704101499</v>
      </c>
      <c r="R14" s="30">
        <v>19.916683197021399</v>
      </c>
      <c r="S14" s="30">
        <v>17.747474670410099</v>
      </c>
      <c r="T14" s="30">
        <v>17.793552398681602</v>
      </c>
      <c r="U14" s="30">
        <v>18.0062751770019</v>
      </c>
      <c r="V14" s="30">
        <v>17.395317077636701</v>
      </c>
      <c r="W14" s="30">
        <v>16.5246276855468</v>
      </c>
      <c r="X14" s="30">
        <v>16.365779876708899</v>
      </c>
      <c r="Y14" s="30">
        <v>16.614620208740199</v>
      </c>
      <c r="Z14" s="30"/>
      <c r="AA14" s="30">
        <f t="shared" si="2"/>
        <v>1</v>
      </c>
      <c r="AB14" s="30">
        <f t="shared" si="3"/>
        <v>1.3947793573659253</v>
      </c>
      <c r="AC14" s="30">
        <f t="shared" si="4"/>
        <v>1.5100260818109261</v>
      </c>
      <c r="AD14" s="30">
        <f t="shared" si="5"/>
        <v>1.3455628818058378</v>
      </c>
      <c r="AE14" s="30">
        <f t="shared" si="6"/>
        <v>1.3490563636668622</v>
      </c>
      <c r="AF14" s="30">
        <f t="shared" si="7"/>
        <v>1.3651843976513045</v>
      </c>
      <c r="AG14" s="30">
        <f t="shared" si="8"/>
        <v>1.3188632981083317</v>
      </c>
      <c r="AH14" s="30">
        <f t="shared" si="9"/>
        <v>1.252850113171571</v>
      </c>
      <c r="AI14" s="30">
        <f t="shared" si="10"/>
        <v>1.240806725625013</v>
      </c>
      <c r="AJ14" s="30">
        <f t="shared" si="11"/>
        <v>1.2596730894596273</v>
      </c>
    </row>
    <row r="15" spans="1:36" x14ac:dyDescent="0.25">
      <c r="A15" s="30"/>
      <c r="B15" s="30" t="s">
        <v>781</v>
      </c>
      <c r="C15" s="30">
        <v>15</v>
      </c>
      <c r="D15" s="30">
        <v>-76.48</v>
      </c>
      <c r="E15" s="30">
        <v>0.25687298178672802</v>
      </c>
      <c r="F15" s="30">
        <v>0.64307373762130704</v>
      </c>
      <c r="G15" s="30">
        <v>3.78783130645752</v>
      </c>
      <c r="H15" s="30">
        <v>19.7689819335937</v>
      </c>
      <c r="I15" s="30">
        <v>0.81632131338119496</v>
      </c>
      <c r="J15" s="30">
        <v>4.3982286453246999</v>
      </c>
      <c r="K15" s="30">
        <f t="shared" si="0"/>
        <v>24.922712645062109</v>
      </c>
      <c r="L15" s="30">
        <f t="shared" si="1"/>
        <v>97.023487918844268</v>
      </c>
      <c r="M15" s="30"/>
      <c r="N15" s="30"/>
      <c r="O15" s="30"/>
      <c r="P15" s="30">
        <v>19.808589935302699</v>
      </c>
      <c r="Q15" s="30">
        <v>22.817211151123001</v>
      </c>
      <c r="R15" s="30">
        <v>22.700729370117099</v>
      </c>
      <c r="S15" s="30">
        <v>22.670162200927699</v>
      </c>
      <c r="T15" s="30">
        <v>21.523933410644499</v>
      </c>
      <c r="U15" s="30">
        <v>21.421848297119102</v>
      </c>
      <c r="V15" s="30">
        <v>21.3696784973144</v>
      </c>
      <c r="W15" s="30">
        <v>20.9104919433593</v>
      </c>
      <c r="X15" s="30">
        <v>21.979961395263601</v>
      </c>
      <c r="Y15" s="30">
        <v>20.343578338623001</v>
      </c>
      <c r="Z15" s="30"/>
      <c r="AA15" s="30">
        <f t="shared" si="2"/>
        <v>1</v>
      </c>
      <c r="AB15" s="30">
        <f t="shared" si="3"/>
        <v>1.151884673550557</v>
      </c>
      <c r="AC15" s="30">
        <f t="shared" si="4"/>
        <v>1.1460043064276904</v>
      </c>
      <c r="AD15" s="30">
        <f t="shared" si="5"/>
        <v>1.1444611794666479</v>
      </c>
      <c r="AE15" s="30">
        <f t="shared" si="6"/>
        <v>1.0865959404957306</v>
      </c>
      <c r="AF15" s="30">
        <f t="shared" si="7"/>
        <v>1.0814423624844325</v>
      </c>
      <c r="AG15" s="30">
        <f t="shared" si="8"/>
        <v>1.0788086667001744</v>
      </c>
      <c r="AH15" s="30">
        <f t="shared" si="9"/>
        <v>1.0556274834127795</v>
      </c>
      <c r="AI15" s="30">
        <f t="shared" si="10"/>
        <v>1.1096176692562605</v>
      </c>
      <c r="AJ15" s="30">
        <f t="shared" si="11"/>
        <v>1.0270078993541509</v>
      </c>
    </row>
    <row r="18" spans="5:12" x14ac:dyDescent="0.25">
      <c r="E18">
        <f>AVERAGE(E3:E15)</f>
        <v>0.28015436518650788</v>
      </c>
      <c r="K18">
        <f>AVERAGE(K3:K15)</f>
        <v>16.291200163649464</v>
      </c>
      <c r="L18">
        <f>AVERAGE(L3:L15)</f>
        <v>64.88234606214796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Data Dictionary</vt:lpstr>
      <vt:lpstr>Animal Numbers</vt:lpstr>
      <vt:lpstr>3</vt:lpstr>
      <vt:lpstr>4</vt:lpstr>
      <vt:lpstr>5</vt:lpstr>
      <vt:lpstr>7</vt:lpstr>
      <vt:lpstr>10</vt:lpstr>
      <vt:lpstr>11</vt:lpstr>
      <vt:lpstr>12</vt:lpstr>
      <vt:lpstr>13</vt:lpstr>
      <vt:lpstr>16</vt:lpstr>
      <vt:lpstr>17</vt:lpstr>
      <vt:lpstr>18</vt:lpstr>
      <vt:lpstr>19</vt:lpstr>
      <vt:lpstr>20</vt:lpstr>
      <vt:lpstr>22</vt:lpstr>
      <vt:lpstr>23</vt:lpstr>
      <vt:lpstr>24</vt:lpstr>
      <vt:lpstr>24-GV</vt:lpstr>
      <vt:lpstr>25</vt:lpstr>
      <vt:lpstr>25-GV</vt:lpstr>
      <vt:lpstr>26</vt:lpstr>
      <vt:lpstr>26-GV</vt:lpstr>
      <vt:lpstr>27</vt:lpstr>
      <vt:lpstr>27-GV</vt:lpstr>
      <vt:lpstr>28</vt:lpstr>
      <vt:lpstr>29</vt:lpstr>
      <vt:lpstr>30</vt:lpstr>
      <vt:lpstr>31</vt:lpstr>
      <vt:lpstr>32</vt:lpstr>
      <vt:lpstr>33</vt:lpstr>
      <vt:lpstr>34</vt:lpstr>
      <vt:lpstr>36</vt:lpstr>
      <vt:lpstr>37</vt:lpstr>
      <vt:lpstr>38</vt:lpstr>
      <vt:lpstr>39-GV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Yizhi</dc:creator>
  <cp:lastModifiedBy>Li, Yizhi</cp:lastModifiedBy>
  <dcterms:created xsi:type="dcterms:W3CDTF">2015-06-05T18:17:20Z</dcterms:created>
  <dcterms:modified xsi:type="dcterms:W3CDTF">2023-07-25T20:15:05Z</dcterms:modified>
</cp:coreProperties>
</file>